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moverholt\Documents\DV-SA Reports\Years Past Tableau Format\"/>
    </mc:Choice>
  </mc:AlternateContent>
  <xr:revisionPtr revIDLastSave="0" documentId="8_{D11D3417-CE54-4B6B-A614-28A916AC2DF8}" xr6:coauthVersionLast="47" xr6:coauthVersionMax="47" xr10:uidLastSave="{00000000-0000-0000-0000-000000000000}"/>
  <bookViews>
    <workbookView xWindow="-110" yWindow="-110" windowWidth="19420" windowHeight="10420" xr2:uid="{8A1C8743-F4F3-44E0-AE5C-64CFB355A4E0}"/>
  </bookViews>
  <sheets>
    <sheet name="DV '18-'19" sheetId="1" r:id="rId1"/>
    <sheet name="SA '18-'19" sheetId="2" r:id="rId2"/>
    <sheet name="BIP Statement of Purpose" sheetId="6" r:id="rId3"/>
    <sheet name="BIP Intakes Scheduled" sheetId="7" r:id="rId4"/>
    <sheet name="BIP Enrolled Participants" sheetId="8" r:id="rId5"/>
    <sheet name="BIP Non-Enrollment explanations" sheetId="9" r:id="rId6"/>
    <sheet name="BIP Participant Outcome" sheetId="10" r:id="rId7"/>
  </sheets>
  <definedNames>
    <definedName name="_xlnm._FilterDatabase" localSheetId="3" hidden="1">'BIP Intakes Scheduled'!$A$1:$A$446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5" i="10" l="1"/>
  <c r="S5" i="10" s="1"/>
  <c r="M5" i="10"/>
  <c r="R5" i="10"/>
  <c r="H6" i="10"/>
  <c r="M6" i="10"/>
  <c r="R6" i="10"/>
  <c r="S6" i="10"/>
  <c r="H7" i="10"/>
  <c r="M7" i="10"/>
  <c r="R7" i="10"/>
  <c r="S7" i="10"/>
  <c r="H8" i="10"/>
  <c r="M8" i="10"/>
  <c r="R8" i="10"/>
  <c r="S8" i="10"/>
  <c r="D9" i="10"/>
  <c r="E9" i="10"/>
  <c r="F9" i="10"/>
  <c r="G9" i="10"/>
  <c r="H9" i="10"/>
  <c r="I9" i="10"/>
  <c r="J9" i="10"/>
  <c r="K9" i="10"/>
  <c r="L9" i="10"/>
  <c r="M9" i="10"/>
  <c r="N9" i="10"/>
  <c r="O9" i="10"/>
  <c r="P9" i="10"/>
  <c r="Q9" i="10"/>
  <c r="R9" i="10"/>
  <c r="S9" i="10"/>
  <c r="H10" i="10"/>
  <c r="M10" i="10"/>
  <c r="R10" i="10"/>
  <c r="S10" i="10"/>
  <c r="H11" i="10"/>
  <c r="M11" i="10"/>
  <c r="R11" i="10"/>
  <c r="S11" i="10"/>
  <c r="H12" i="10"/>
  <c r="M12" i="10"/>
  <c r="R12" i="10"/>
  <c r="S12" i="10"/>
  <c r="H13" i="10"/>
  <c r="M13" i="10"/>
  <c r="R13" i="10"/>
  <c r="S13" i="10"/>
  <c r="D14" i="10"/>
  <c r="E14" i="10"/>
  <c r="F14" i="10"/>
  <c r="G14" i="10"/>
  <c r="H14" i="10"/>
  <c r="I14" i="10"/>
  <c r="J14" i="10"/>
  <c r="K14" i="10"/>
  <c r="L14" i="10"/>
  <c r="M14" i="10"/>
  <c r="N14" i="10"/>
  <c r="O14" i="10"/>
  <c r="P14" i="10"/>
  <c r="Q14" i="10"/>
  <c r="R14" i="10"/>
  <c r="S14" i="10"/>
  <c r="H15" i="10"/>
  <c r="M15" i="10"/>
  <c r="R15" i="10"/>
  <c r="S15" i="10"/>
  <c r="H16" i="10"/>
  <c r="M16" i="10"/>
  <c r="R16" i="10"/>
  <c r="S16" i="10"/>
  <c r="H17" i="10"/>
  <c r="M17" i="10"/>
  <c r="R17" i="10"/>
  <c r="S17" i="10"/>
  <c r="H18" i="10"/>
  <c r="M18" i="10"/>
  <c r="R18" i="10"/>
  <c r="S18" i="10"/>
  <c r="D19" i="10"/>
  <c r="E19" i="10"/>
  <c r="F19" i="10"/>
  <c r="G19" i="10"/>
  <c r="H19" i="10"/>
  <c r="I19" i="10"/>
  <c r="J19" i="10"/>
  <c r="K19" i="10"/>
  <c r="L19" i="10"/>
  <c r="M19" i="10"/>
  <c r="N19" i="10"/>
  <c r="O19" i="10"/>
  <c r="P19" i="10"/>
  <c r="Q19" i="10"/>
  <c r="R19" i="10"/>
  <c r="S19" i="10"/>
  <c r="H20" i="10"/>
  <c r="M20" i="10"/>
  <c r="R20" i="10"/>
  <c r="S20" i="10"/>
  <c r="H21" i="10"/>
  <c r="M21" i="10"/>
  <c r="R21" i="10"/>
  <c r="S21" i="10"/>
  <c r="H22" i="10"/>
  <c r="M22" i="10"/>
  <c r="R22" i="10"/>
  <c r="S22" i="10"/>
  <c r="H23" i="10"/>
  <c r="M23" i="10"/>
  <c r="R23" i="10"/>
  <c r="S23" i="10"/>
  <c r="D24" i="10"/>
  <c r="E24" i="10"/>
  <c r="F24" i="10"/>
  <c r="G24" i="10"/>
  <c r="H24" i="10"/>
  <c r="I24" i="10"/>
  <c r="J24" i="10"/>
  <c r="K24" i="10"/>
  <c r="L24" i="10"/>
  <c r="M24" i="10"/>
  <c r="N24" i="10"/>
  <c r="O24" i="10"/>
  <c r="P24" i="10"/>
  <c r="Q24" i="10"/>
  <c r="R24" i="10"/>
  <c r="S24" i="10"/>
  <c r="H25" i="10"/>
  <c r="M25" i="10"/>
  <c r="R25" i="10"/>
  <c r="S25" i="10"/>
  <c r="H26" i="10"/>
  <c r="M26" i="10"/>
  <c r="R26" i="10"/>
  <c r="S26" i="10"/>
  <c r="H27" i="10"/>
  <c r="M27" i="10"/>
  <c r="R27" i="10"/>
  <c r="S27" i="10"/>
  <c r="H28" i="10"/>
  <c r="M28" i="10"/>
  <c r="R28" i="10"/>
  <c r="S28" i="10"/>
  <c r="D29" i="10"/>
  <c r="E29" i="10"/>
  <c r="F29" i="10"/>
  <c r="G29" i="10"/>
  <c r="H29" i="10"/>
  <c r="I29" i="10"/>
  <c r="J29" i="10"/>
  <c r="K29" i="10"/>
  <c r="L29" i="10"/>
  <c r="M29" i="10"/>
  <c r="N29" i="10"/>
  <c r="O29" i="10"/>
  <c r="P29" i="10"/>
  <c r="Q29" i="10"/>
  <c r="R29" i="10"/>
  <c r="S29" i="10"/>
  <c r="H30" i="10"/>
  <c r="M30" i="10"/>
  <c r="R30" i="10"/>
  <c r="S30" i="10"/>
  <c r="H31" i="10"/>
  <c r="M31" i="10"/>
  <c r="R31" i="10"/>
  <c r="S31" i="10"/>
  <c r="H32" i="10"/>
  <c r="M32" i="10"/>
  <c r="R32" i="10"/>
  <c r="S32" i="10"/>
  <c r="H33" i="10"/>
  <c r="M33" i="10"/>
  <c r="R33" i="10"/>
  <c r="S33" i="10"/>
  <c r="D34" i="10"/>
  <c r="E34" i="10"/>
  <c r="F34" i="10"/>
  <c r="G34" i="10"/>
  <c r="H34" i="10"/>
  <c r="I34" i="10"/>
  <c r="J34" i="10"/>
  <c r="K34" i="10"/>
  <c r="L34" i="10"/>
  <c r="M34" i="10"/>
  <c r="N34" i="10"/>
  <c r="O34" i="10"/>
  <c r="P34" i="10"/>
  <c r="Q34" i="10"/>
  <c r="R34" i="10"/>
  <c r="S34" i="10"/>
  <c r="H35" i="10"/>
  <c r="M35" i="10"/>
  <c r="R35" i="10"/>
  <c r="S35" i="10"/>
  <c r="H36" i="10"/>
  <c r="M36" i="10"/>
  <c r="R36" i="10"/>
  <c r="S36" i="10"/>
  <c r="H37" i="10"/>
  <c r="M37" i="10"/>
  <c r="R37" i="10"/>
  <c r="S37" i="10"/>
  <c r="H38" i="10"/>
  <c r="M38" i="10"/>
  <c r="R38" i="10"/>
  <c r="S38" i="10"/>
  <c r="D39" i="10"/>
  <c r="E39" i="10"/>
  <c r="F39" i="10"/>
  <c r="G39" i="10"/>
  <c r="H39" i="10"/>
  <c r="I39" i="10"/>
  <c r="J39" i="10"/>
  <c r="K39" i="10"/>
  <c r="L39" i="10"/>
  <c r="M39" i="10"/>
  <c r="N39" i="10"/>
  <c r="O39" i="10"/>
  <c r="P39" i="10"/>
  <c r="Q39" i="10"/>
  <c r="R39" i="10"/>
  <c r="S39" i="10"/>
  <c r="D40" i="10"/>
  <c r="E40" i="10"/>
  <c r="F40" i="10"/>
  <c r="G40" i="10"/>
  <c r="H40" i="10"/>
  <c r="I40" i="10"/>
  <c r="J40" i="10"/>
  <c r="K40" i="10"/>
  <c r="L40" i="10"/>
  <c r="M40" i="10"/>
  <c r="N40" i="10"/>
  <c r="O40" i="10"/>
  <c r="P40" i="10"/>
  <c r="Q40" i="10"/>
  <c r="R40" i="10"/>
  <c r="S40" i="10"/>
  <c r="H41" i="10"/>
  <c r="M41" i="10"/>
  <c r="R41" i="10"/>
  <c r="S41" i="10"/>
  <c r="H42" i="10"/>
  <c r="M42" i="10"/>
  <c r="R42" i="10"/>
  <c r="S42" i="10"/>
  <c r="H43" i="10"/>
  <c r="M43" i="10"/>
  <c r="R43" i="10"/>
  <c r="S43" i="10"/>
  <c r="H44" i="10"/>
  <c r="M44" i="10"/>
  <c r="R44" i="10"/>
  <c r="S44" i="10"/>
  <c r="D45" i="10"/>
  <c r="E45" i="10"/>
  <c r="F45" i="10"/>
  <c r="G45" i="10"/>
  <c r="H45" i="10"/>
  <c r="I45" i="10"/>
  <c r="J45" i="10"/>
  <c r="K45" i="10"/>
  <c r="L45" i="10"/>
  <c r="M45" i="10"/>
  <c r="N45" i="10"/>
  <c r="O45" i="10"/>
  <c r="P45" i="10"/>
  <c r="Q45" i="10"/>
  <c r="R45" i="10"/>
  <c r="S45" i="10"/>
  <c r="H46" i="10"/>
  <c r="M46" i="10"/>
  <c r="R46" i="10"/>
  <c r="S46" i="10"/>
  <c r="H47" i="10"/>
  <c r="M47" i="10"/>
  <c r="R47" i="10"/>
  <c r="S47" i="10"/>
  <c r="H48" i="10"/>
  <c r="M48" i="10"/>
  <c r="R48" i="10"/>
  <c r="S48" i="10"/>
  <c r="H49" i="10"/>
  <c r="M49" i="10"/>
  <c r="R49" i="10"/>
  <c r="S49" i="10"/>
  <c r="D50" i="10"/>
  <c r="E50" i="10"/>
  <c r="F50" i="10"/>
  <c r="G50" i="10"/>
  <c r="H50" i="10"/>
  <c r="I50" i="10"/>
  <c r="J50" i="10"/>
  <c r="K50" i="10"/>
  <c r="L50" i="10"/>
  <c r="M50" i="10"/>
  <c r="N50" i="10"/>
  <c r="O50" i="10"/>
  <c r="P50" i="10"/>
  <c r="Q50" i="10"/>
  <c r="R50" i="10"/>
  <c r="S50" i="10"/>
  <c r="D51" i="10"/>
  <c r="E51" i="10"/>
  <c r="F51" i="10"/>
  <c r="G51" i="10"/>
  <c r="H51" i="10"/>
  <c r="I51" i="10"/>
  <c r="J51" i="10"/>
  <c r="K51" i="10"/>
  <c r="L51" i="10"/>
  <c r="M51" i="10"/>
  <c r="N51" i="10"/>
  <c r="O51" i="10"/>
  <c r="P51" i="10"/>
  <c r="Q51" i="10"/>
  <c r="R51" i="10"/>
  <c r="S51" i="10"/>
  <c r="H52" i="10"/>
  <c r="M52" i="10"/>
  <c r="R52" i="10"/>
  <c r="S52" i="10"/>
  <c r="H53" i="10"/>
  <c r="M53" i="10"/>
  <c r="R53" i="10"/>
  <c r="S53" i="10"/>
  <c r="H54" i="10"/>
  <c r="M54" i="10"/>
  <c r="R54" i="10"/>
  <c r="S54" i="10"/>
  <c r="H55" i="10"/>
  <c r="M55" i="10"/>
  <c r="R55" i="10"/>
  <c r="S55" i="10"/>
  <c r="D56" i="10"/>
  <c r="E56" i="10"/>
  <c r="F56" i="10"/>
  <c r="G56" i="10"/>
  <c r="H56" i="10"/>
  <c r="I56" i="10"/>
  <c r="J56" i="10"/>
  <c r="K56" i="10"/>
  <c r="L56" i="10"/>
  <c r="M56" i="10"/>
  <c r="N56" i="10"/>
  <c r="O56" i="10"/>
  <c r="P56" i="10"/>
  <c r="Q56" i="10"/>
  <c r="R56" i="10"/>
  <c r="S56" i="10"/>
  <c r="H57" i="10"/>
  <c r="M57" i="10"/>
  <c r="R57" i="10"/>
  <c r="S57" i="10"/>
  <c r="H58" i="10"/>
  <c r="M58" i="10"/>
  <c r="R58" i="10"/>
  <c r="S58" i="10"/>
  <c r="H59" i="10"/>
  <c r="M59" i="10"/>
  <c r="R59" i="10"/>
  <c r="S59" i="10"/>
  <c r="H60" i="10"/>
  <c r="M60" i="10"/>
  <c r="R60" i="10"/>
  <c r="S60" i="10"/>
  <c r="D61" i="10"/>
  <c r="E61" i="10"/>
  <c r="F61" i="10"/>
  <c r="G61" i="10"/>
  <c r="H61" i="10"/>
  <c r="I61" i="10"/>
  <c r="J61" i="10"/>
  <c r="K61" i="10"/>
  <c r="L61" i="10"/>
  <c r="M61" i="10"/>
  <c r="N61" i="10"/>
  <c r="O61" i="10"/>
  <c r="P61" i="10"/>
  <c r="Q61" i="10"/>
  <c r="R61" i="10"/>
  <c r="S61" i="10"/>
  <c r="H62" i="10"/>
  <c r="M62" i="10"/>
  <c r="R62" i="10"/>
  <c r="S62" i="10"/>
  <c r="H63" i="10"/>
  <c r="M63" i="10"/>
  <c r="R63" i="10"/>
  <c r="S63" i="10"/>
  <c r="H64" i="10"/>
  <c r="M64" i="10"/>
  <c r="R64" i="10"/>
  <c r="S64" i="10"/>
  <c r="H65" i="10"/>
  <c r="M65" i="10"/>
  <c r="R65" i="10"/>
  <c r="S65" i="10"/>
  <c r="D66" i="10"/>
  <c r="E66" i="10"/>
  <c r="F66" i="10"/>
  <c r="G66" i="10"/>
  <c r="H66" i="10"/>
  <c r="I66" i="10"/>
  <c r="J66" i="10"/>
  <c r="K66" i="10"/>
  <c r="L66" i="10"/>
  <c r="M66" i="10"/>
  <c r="N66" i="10"/>
  <c r="O66" i="10"/>
  <c r="P66" i="10"/>
  <c r="Q66" i="10"/>
  <c r="R66" i="10"/>
  <c r="S66" i="10"/>
  <c r="H67" i="10"/>
  <c r="M67" i="10"/>
  <c r="R67" i="10"/>
  <c r="S67" i="10"/>
  <c r="H68" i="10"/>
  <c r="M68" i="10"/>
  <c r="R68" i="10"/>
  <c r="S68" i="10"/>
  <c r="H69" i="10"/>
  <c r="M69" i="10"/>
  <c r="R69" i="10"/>
  <c r="S69" i="10"/>
  <c r="H70" i="10"/>
  <c r="M70" i="10"/>
  <c r="R70" i="10"/>
  <c r="S70" i="10"/>
  <c r="D71" i="10"/>
  <c r="E71" i="10"/>
  <c r="F71" i="10"/>
  <c r="G71" i="10"/>
  <c r="H71" i="10"/>
  <c r="I71" i="10"/>
  <c r="J71" i="10"/>
  <c r="K71" i="10"/>
  <c r="L71" i="10"/>
  <c r="M71" i="10"/>
  <c r="N71" i="10"/>
  <c r="O71" i="10"/>
  <c r="P71" i="10"/>
  <c r="Q71" i="10"/>
  <c r="R71" i="10"/>
  <c r="S71" i="10"/>
  <c r="H72" i="10"/>
  <c r="M72" i="10"/>
  <c r="R72" i="10"/>
  <c r="S72" i="10"/>
  <c r="H73" i="10"/>
  <c r="M73" i="10"/>
  <c r="R73" i="10"/>
  <c r="S73" i="10"/>
  <c r="H74" i="10"/>
  <c r="M74" i="10"/>
  <c r="R74" i="10"/>
  <c r="S74" i="10"/>
  <c r="H75" i="10"/>
  <c r="M75" i="10"/>
  <c r="R75" i="10"/>
  <c r="S75" i="10"/>
  <c r="D76" i="10"/>
  <c r="E76" i="10"/>
  <c r="F76" i="10"/>
  <c r="G76" i="10"/>
  <c r="H76" i="10"/>
  <c r="I76" i="10"/>
  <c r="J76" i="10"/>
  <c r="K76" i="10"/>
  <c r="L76" i="10"/>
  <c r="M76" i="10"/>
  <c r="N76" i="10"/>
  <c r="O76" i="10"/>
  <c r="P76" i="10"/>
  <c r="Q76" i="10"/>
  <c r="R76" i="10"/>
  <c r="S76" i="10"/>
  <c r="H77" i="10"/>
  <c r="M77" i="10"/>
  <c r="R77" i="10"/>
  <c r="S77" i="10"/>
  <c r="H78" i="10"/>
  <c r="M78" i="10"/>
  <c r="R78" i="10"/>
  <c r="S78" i="10"/>
  <c r="H79" i="10"/>
  <c r="M79" i="10"/>
  <c r="R79" i="10"/>
  <c r="S79" i="10"/>
  <c r="H80" i="10"/>
  <c r="M80" i="10"/>
  <c r="R80" i="10"/>
  <c r="S80" i="10"/>
  <c r="D81" i="10"/>
  <c r="E81" i="10"/>
  <c r="F81" i="10"/>
  <c r="G81" i="10"/>
  <c r="H81" i="10"/>
  <c r="I81" i="10"/>
  <c r="J81" i="10"/>
  <c r="K81" i="10"/>
  <c r="L81" i="10"/>
  <c r="M81" i="10"/>
  <c r="N81" i="10"/>
  <c r="O81" i="10"/>
  <c r="P81" i="10"/>
  <c r="Q81" i="10"/>
  <c r="R81" i="10"/>
  <c r="S81" i="10"/>
  <c r="H82" i="10"/>
  <c r="M82" i="10"/>
  <c r="R82" i="10"/>
  <c r="S82" i="10"/>
  <c r="H83" i="10"/>
  <c r="M83" i="10"/>
  <c r="R83" i="10"/>
  <c r="S83" i="10"/>
  <c r="H84" i="10"/>
  <c r="M84" i="10"/>
  <c r="R84" i="10"/>
  <c r="S84" i="10"/>
  <c r="H85" i="10"/>
  <c r="M85" i="10"/>
  <c r="R85" i="10"/>
  <c r="S85" i="10"/>
  <c r="D86" i="10"/>
  <c r="E86" i="10"/>
  <c r="F86" i="10"/>
  <c r="G86" i="10"/>
  <c r="H86" i="10"/>
  <c r="I86" i="10"/>
  <c r="J86" i="10"/>
  <c r="K86" i="10"/>
  <c r="L86" i="10"/>
  <c r="M86" i="10"/>
  <c r="N86" i="10"/>
  <c r="O86" i="10"/>
  <c r="P86" i="10"/>
  <c r="Q86" i="10"/>
  <c r="R86" i="10"/>
  <c r="S86" i="10"/>
  <c r="H87" i="10"/>
  <c r="M87" i="10"/>
  <c r="R87" i="10"/>
  <c r="S87" i="10"/>
  <c r="H88" i="10"/>
  <c r="M88" i="10"/>
  <c r="R88" i="10"/>
  <c r="S88" i="10"/>
  <c r="H89" i="10"/>
  <c r="M89" i="10"/>
  <c r="R89" i="10"/>
  <c r="S89" i="10"/>
  <c r="H90" i="10"/>
  <c r="M90" i="10"/>
  <c r="R90" i="10"/>
  <c r="S90" i="10"/>
  <c r="D91" i="10"/>
  <c r="E91" i="10"/>
  <c r="F91" i="10"/>
  <c r="G91" i="10"/>
  <c r="H91" i="10"/>
  <c r="I91" i="10"/>
  <c r="J91" i="10"/>
  <c r="K91" i="10"/>
  <c r="L91" i="10"/>
  <c r="M91" i="10"/>
  <c r="N91" i="10"/>
  <c r="O91" i="10"/>
  <c r="P91" i="10"/>
  <c r="Q91" i="10"/>
  <c r="R91" i="10"/>
  <c r="S91" i="10"/>
  <c r="H92" i="10"/>
  <c r="M92" i="10"/>
  <c r="R92" i="10"/>
  <c r="S92" i="10"/>
  <c r="H93" i="10"/>
  <c r="M93" i="10"/>
  <c r="R93" i="10"/>
  <c r="S93" i="10"/>
  <c r="H94" i="10"/>
  <c r="M94" i="10"/>
  <c r="R94" i="10"/>
  <c r="S94" i="10"/>
  <c r="H95" i="10"/>
  <c r="M95" i="10"/>
  <c r="R95" i="10"/>
  <c r="S95" i="10"/>
  <c r="D96" i="10"/>
  <c r="E96" i="10"/>
  <c r="F96" i="10"/>
  <c r="G96" i="10"/>
  <c r="H96" i="10"/>
  <c r="I96" i="10"/>
  <c r="J96" i="10"/>
  <c r="K96" i="10"/>
  <c r="L96" i="10"/>
  <c r="M96" i="10"/>
  <c r="N96" i="10"/>
  <c r="O96" i="10"/>
  <c r="P96" i="10"/>
  <c r="Q96" i="10"/>
  <c r="R96" i="10"/>
  <c r="S96" i="10"/>
  <c r="H97" i="10"/>
  <c r="M97" i="10"/>
  <c r="R97" i="10"/>
  <c r="S97" i="10"/>
  <c r="H98" i="10"/>
  <c r="M98" i="10"/>
  <c r="R98" i="10"/>
  <c r="S98" i="10"/>
  <c r="H99" i="10"/>
  <c r="M99" i="10"/>
  <c r="R99" i="10"/>
  <c r="S99" i="10"/>
  <c r="H100" i="10"/>
  <c r="M100" i="10"/>
  <c r="R100" i="10"/>
  <c r="S100" i="10"/>
  <c r="D101" i="10"/>
  <c r="E101" i="10"/>
  <c r="F101" i="10"/>
  <c r="G101" i="10"/>
  <c r="H101" i="10"/>
  <c r="I101" i="10"/>
  <c r="J101" i="10"/>
  <c r="K101" i="10"/>
  <c r="L101" i="10"/>
  <c r="M101" i="10"/>
  <c r="N101" i="10"/>
  <c r="O101" i="10"/>
  <c r="P101" i="10"/>
  <c r="Q101" i="10"/>
  <c r="R101" i="10"/>
  <c r="S101" i="10"/>
  <c r="H102" i="10"/>
  <c r="M102" i="10"/>
  <c r="R102" i="10"/>
  <c r="S102" i="10"/>
  <c r="H103" i="10"/>
  <c r="M103" i="10"/>
  <c r="R103" i="10"/>
  <c r="S103" i="10"/>
  <c r="H104" i="10"/>
  <c r="M104" i="10"/>
  <c r="R104" i="10"/>
  <c r="S104" i="10"/>
  <c r="H105" i="10"/>
  <c r="M105" i="10"/>
  <c r="R105" i="10"/>
  <c r="S105" i="10"/>
  <c r="D106" i="10"/>
  <c r="E106" i="10"/>
  <c r="F106" i="10"/>
  <c r="G106" i="10"/>
  <c r="H106" i="10"/>
  <c r="I106" i="10"/>
  <c r="J106" i="10"/>
  <c r="K106" i="10"/>
  <c r="L106" i="10"/>
  <c r="M106" i="10"/>
  <c r="N106" i="10"/>
  <c r="O106" i="10"/>
  <c r="P106" i="10"/>
  <c r="Q106" i="10"/>
  <c r="R106" i="10"/>
  <c r="S106" i="10"/>
  <c r="D107" i="10"/>
  <c r="E107" i="10"/>
  <c r="F107" i="10"/>
  <c r="G107" i="10"/>
  <c r="H107" i="10"/>
  <c r="I107" i="10"/>
  <c r="J107" i="10"/>
  <c r="K107" i="10"/>
  <c r="L107" i="10"/>
  <c r="M107" i="10"/>
  <c r="N107" i="10"/>
  <c r="O107" i="10"/>
  <c r="P107" i="10"/>
  <c r="Q107" i="10"/>
  <c r="R107" i="10"/>
  <c r="S107" i="10"/>
  <c r="H108" i="10"/>
  <c r="M108" i="10"/>
  <c r="R108" i="10"/>
  <c r="S108" i="10"/>
  <c r="H109" i="10"/>
  <c r="M109" i="10"/>
  <c r="R109" i="10"/>
  <c r="S109" i="10"/>
  <c r="H110" i="10"/>
  <c r="M110" i="10"/>
  <c r="R110" i="10"/>
  <c r="S110" i="10"/>
  <c r="H111" i="10"/>
  <c r="M111" i="10"/>
  <c r="R111" i="10"/>
  <c r="S111" i="10"/>
  <c r="D112" i="10"/>
  <c r="E112" i="10"/>
  <c r="F112" i="10"/>
  <c r="G112" i="10"/>
  <c r="H112" i="10"/>
  <c r="I112" i="10"/>
  <c r="J112" i="10"/>
  <c r="K112" i="10"/>
  <c r="L112" i="10"/>
  <c r="M112" i="10"/>
  <c r="N112" i="10"/>
  <c r="O112" i="10"/>
  <c r="P112" i="10"/>
  <c r="Q112" i="10"/>
  <c r="R112" i="10"/>
  <c r="S112" i="10"/>
  <c r="H113" i="10"/>
  <c r="M113" i="10"/>
  <c r="R113" i="10"/>
  <c r="S113" i="10"/>
  <c r="H114" i="10"/>
  <c r="M114" i="10"/>
  <c r="R114" i="10"/>
  <c r="S114" i="10"/>
  <c r="H115" i="10"/>
  <c r="M115" i="10"/>
  <c r="R115" i="10"/>
  <c r="S115" i="10"/>
  <c r="H116" i="10"/>
  <c r="M116" i="10"/>
  <c r="R116" i="10"/>
  <c r="S116" i="10"/>
  <c r="D117" i="10"/>
  <c r="E117" i="10"/>
  <c r="F117" i="10"/>
  <c r="G117" i="10"/>
  <c r="H117" i="10"/>
  <c r="I117" i="10"/>
  <c r="J117" i="10"/>
  <c r="K117" i="10"/>
  <c r="L117" i="10"/>
  <c r="M117" i="10"/>
  <c r="N117" i="10"/>
  <c r="O117" i="10"/>
  <c r="P117" i="10"/>
  <c r="Q117" i="10"/>
  <c r="R117" i="10"/>
  <c r="S117" i="10"/>
  <c r="H118" i="10"/>
  <c r="M118" i="10"/>
  <c r="R118" i="10"/>
  <c r="S118" i="10"/>
  <c r="H119" i="10"/>
  <c r="M119" i="10"/>
  <c r="R119" i="10"/>
  <c r="S119" i="10"/>
  <c r="H120" i="10"/>
  <c r="M120" i="10"/>
  <c r="R120" i="10"/>
  <c r="S120" i="10"/>
  <c r="H121" i="10"/>
  <c r="M121" i="10"/>
  <c r="R121" i="10"/>
  <c r="S121" i="10"/>
  <c r="D122" i="10"/>
  <c r="E122" i="10"/>
  <c r="F122" i="10"/>
  <c r="G122" i="10"/>
  <c r="H122" i="10"/>
  <c r="I122" i="10"/>
  <c r="J122" i="10"/>
  <c r="K122" i="10"/>
  <c r="L122" i="10"/>
  <c r="M122" i="10"/>
  <c r="N122" i="10"/>
  <c r="O122" i="10"/>
  <c r="P122" i="10"/>
  <c r="Q122" i="10"/>
  <c r="R122" i="10"/>
  <c r="S122" i="10"/>
  <c r="H123" i="10"/>
  <c r="M123" i="10"/>
  <c r="R123" i="10"/>
  <c r="S123" i="10"/>
  <c r="H124" i="10"/>
  <c r="M124" i="10"/>
  <c r="R124" i="10"/>
  <c r="S124" i="10"/>
  <c r="H125" i="10"/>
  <c r="M125" i="10"/>
  <c r="R125" i="10"/>
  <c r="S125" i="10"/>
  <c r="H126" i="10"/>
  <c r="M126" i="10"/>
  <c r="R126" i="10"/>
  <c r="S126" i="10"/>
  <c r="D127" i="10"/>
  <c r="E127" i="10"/>
  <c r="F127" i="10"/>
  <c r="G127" i="10"/>
  <c r="H127" i="10"/>
  <c r="I127" i="10"/>
  <c r="J127" i="10"/>
  <c r="K127" i="10"/>
  <c r="L127" i="10"/>
  <c r="M127" i="10"/>
  <c r="N127" i="10"/>
  <c r="O127" i="10"/>
  <c r="P127" i="10"/>
  <c r="Q127" i="10"/>
  <c r="R127" i="10"/>
  <c r="S127" i="10"/>
  <c r="D128" i="10"/>
  <c r="E128" i="10"/>
  <c r="F128" i="10"/>
  <c r="G128" i="10"/>
  <c r="H128" i="10"/>
  <c r="I128" i="10"/>
  <c r="J128" i="10"/>
  <c r="K128" i="10"/>
  <c r="L128" i="10"/>
  <c r="M128" i="10"/>
  <c r="N128" i="10"/>
  <c r="O128" i="10"/>
  <c r="P128" i="10"/>
  <c r="Q128" i="10"/>
  <c r="R128" i="10"/>
  <c r="S128" i="10"/>
  <c r="H129" i="10"/>
  <c r="M129" i="10"/>
  <c r="R129" i="10"/>
  <c r="S129" i="10"/>
  <c r="H130" i="10"/>
  <c r="M130" i="10"/>
  <c r="R130" i="10"/>
  <c r="S130" i="10"/>
  <c r="H131" i="10"/>
  <c r="M131" i="10"/>
  <c r="R131" i="10"/>
  <c r="S131" i="10"/>
  <c r="H132" i="10"/>
  <c r="M132" i="10"/>
  <c r="R132" i="10"/>
  <c r="S132" i="10"/>
  <c r="D133" i="10"/>
  <c r="E133" i="10"/>
  <c r="F133" i="10"/>
  <c r="G133" i="10"/>
  <c r="H133" i="10"/>
  <c r="I133" i="10"/>
  <c r="J133" i="10"/>
  <c r="K133" i="10"/>
  <c r="L133" i="10"/>
  <c r="M133" i="10"/>
  <c r="N133" i="10"/>
  <c r="O133" i="10"/>
  <c r="P133" i="10"/>
  <c r="Q133" i="10"/>
  <c r="R133" i="10"/>
  <c r="S133" i="10"/>
  <c r="H134" i="10"/>
  <c r="M134" i="10"/>
  <c r="R134" i="10"/>
  <c r="S134" i="10"/>
  <c r="H135" i="10"/>
  <c r="M135" i="10"/>
  <c r="R135" i="10"/>
  <c r="S135" i="10"/>
  <c r="H136" i="10"/>
  <c r="M136" i="10"/>
  <c r="R136" i="10"/>
  <c r="S136" i="10"/>
  <c r="H137" i="10"/>
  <c r="M137" i="10"/>
  <c r="R137" i="10"/>
  <c r="S137" i="10"/>
  <c r="D138" i="10"/>
  <c r="E138" i="10"/>
  <c r="F138" i="10"/>
  <c r="G138" i="10"/>
  <c r="H138" i="10"/>
  <c r="I138" i="10"/>
  <c r="J138" i="10"/>
  <c r="K138" i="10"/>
  <c r="L138" i="10"/>
  <c r="M138" i="10"/>
  <c r="N138" i="10"/>
  <c r="O138" i="10"/>
  <c r="P138" i="10"/>
  <c r="Q138" i="10"/>
  <c r="R138" i="10"/>
  <c r="S138" i="10"/>
  <c r="H139" i="10"/>
  <c r="M139" i="10"/>
  <c r="R139" i="10"/>
  <c r="S139" i="10"/>
  <c r="H140" i="10"/>
  <c r="M140" i="10"/>
  <c r="R140" i="10"/>
  <c r="S140" i="10"/>
  <c r="H141" i="10"/>
  <c r="M141" i="10"/>
  <c r="R141" i="10"/>
  <c r="S141" i="10"/>
  <c r="H142" i="10"/>
  <c r="M142" i="10"/>
  <c r="R142" i="10"/>
  <c r="S142" i="10"/>
  <c r="D143" i="10"/>
  <c r="E143" i="10"/>
  <c r="F143" i="10"/>
  <c r="G143" i="10"/>
  <c r="H143" i="10"/>
  <c r="I143" i="10"/>
  <c r="J143" i="10"/>
  <c r="K143" i="10"/>
  <c r="L143" i="10"/>
  <c r="M143" i="10"/>
  <c r="N143" i="10"/>
  <c r="O143" i="10"/>
  <c r="P143" i="10"/>
  <c r="Q143" i="10"/>
  <c r="R143" i="10"/>
  <c r="S143" i="10"/>
  <c r="D144" i="10"/>
  <c r="E144" i="10"/>
  <c r="F144" i="10"/>
  <c r="G144" i="10"/>
  <c r="H144" i="10"/>
  <c r="I144" i="10"/>
  <c r="J144" i="10"/>
  <c r="K144" i="10"/>
  <c r="L144" i="10"/>
  <c r="M144" i="10"/>
  <c r="N144" i="10"/>
  <c r="O144" i="10"/>
  <c r="P144" i="10"/>
  <c r="Q144" i="10"/>
  <c r="R144" i="10"/>
  <c r="S144" i="10"/>
  <c r="H145" i="10"/>
  <c r="M145" i="10"/>
  <c r="R145" i="10"/>
  <c r="S145" i="10"/>
  <c r="H146" i="10"/>
  <c r="M146" i="10"/>
  <c r="R146" i="10"/>
  <c r="S146" i="10"/>
  <c r="H147" i="10"/>
  <c r="M147" i="10"/>
  <c r="R147" i="10"/>
  <c r="S147" i="10"/>
  <c r="H148" i="10"/>
  <c r="M148" i="10"/>
  <c r="R148" i="10"/>
  <c r="S148" i="10"/>
  <c r="D149" i="10"/>
  <c r="E149" i="10"/>
  <c r="F149" i="10"/>
  <c r="G149" i="10"/>
  <c r="H149" i="10"/>
  <c r="I149" i="10"/>
  <c r="J149" i="10"/>
  <c r="K149" i="10"/>
  <c r="L149" i="10"/>
  <c r="M149" i="10"/>
  <c r="N149" i="10"/>
  <c r="O149" i="10"/>
  <c r="P149" i="10"/>
  <c r="Q149" i="10"/>
  <c r="R149" i="10"/>
  <c r="S149" i="10"/>
  <c r="H150" i="10"/>
  <c r="M150" i="10"/>
  <c r="R150" i="10"/>
  <c r="S150" i="10"/>
  <c r="H151" i="10"/>
  <c r="M151" i="10"/>
  <c r="R151" i="10"/>
  <c r="S151" i="10"/>
  <c r="H152" i="10"/>
  <c r="M152" i="10"/>
  <c r="R152" i="10"/>
  <c r="S152" i="10"/>
  <c r="H153" i="10"/>
  <c r="M153" i="10"/>
  <c r="R153" i="10"/>
  <c r="S153" i="10"/>
  <c r="D154" i="10"/>
  <c r="E154" i="10"/>
  <c r="F154" i="10"/>
  <c r="G154" i="10"/>
  <c r="H154" i="10"/>
  <c r="I154" i="10"/>
  <c r="J154" i="10"/>
  <c r="K154" i="10"/>
  <c r="L154" i="10"/>
  <c r="M154" i="10"/>
  <c r="N154" i="10"/>
  <c r="O154" i="10"/>
  <c r="P154" i="10"/>
  <c r="Q154" i="10"/>
  <c r="R154" i="10"/>
  <c r="S154" i="10"/>
  <c r="H155" i="10"/>
  <c r="M155" i="10"/>
  <c r="R155" i="10"/>
  <c r="S155" i="10"/>
  <c r="H156" i="10"/>
  <c r="M156" i="10"/>
  <c r="R156" i="10"/>
  <c r="S156" i="10"/>
  <c r="H157" i="10"/>
  <c r="M157" i="10"/>
  <c r="R157" i="10"/>
  <c r="S157" i="10"/>
  <c r="H158" i="10"/>
  <c r="M158" i="10"/>
  <c r="R158" i="10"/>
  <c r="S158" i="10"/>
  <c r="D159" i="10"/>
  <c r="E159" i="10"/>
  <c r="F159" i="10"/>
  <c r="G159" i="10"/>
  <c r="H159" i="10"/>
  <c r="I159" i="10"/>
  <c r="J159" i="10"/>
  <c r="K159" i="10"/>
  <c r="L159" i="10"/>
  <c r="M159" i="10"/>
  <c r="N159" i="10"/>
  <c r="O159" i="10"/>
  <c r="P159" i="10"/>
  <c r="Q159" i="10"/>
  <c r="R159" i="10"/>
  <c r="S159" i="10"/>
  <c r="H160" i="10"/>
  <c r="M160" i="10"/>
  <c r="R160" i="10"/>
  <c r="S160" i="10"/>
  <c r="H161" i="10"/>
  <c r="M161" i="10"/>
  <c r="R161" i="10"/>
  <c r="S161" i="10"/>
  <c r="H162" i="10"/>
  <c r="M162" i="10"/>
  <c r="R162" i="10"/>
  <c r="S162" i="10"/>
  <c r="H163" i="10"/>
  <c r="M163" i="10"/>
  <c r="R163" i="10"/>
  <c r="S163" i="10"/>
  <c r="D164" i="10"/>
  <c r="E164" i="10"/>
  <c r="F164" i="10"/>
  <c r="G164" i="10"/>
  <c r="H164" i="10"/>
  <c r="I164" i="10"/>
  <c r="J164" i="10"/>
  <c r="K164" i="10"/>
  <c r="L164" i="10"/>
  <c r="M164" i="10"/>
  <c r="N164" i="10"/>
  <c r="O164" i="10"/>
  <c r="P164" i="10"/>
  <c r="Q164" i="10"/>
  <c r="R164" i="10"/>
  <c r="S164" i="10"/>
  <c r="H165" i="10"/>
  <c r="M165" i="10"/>
  <c r="R165" i="10"/>
  <c r="S165" i="10"/>
  <c r="H166" i="10"/>
  <c r="M166" i="10"/>
  <c r="R166" i="10"/>
  <c r="S166" i="10"/>
  <c r="H167" i="10"/>
  <c r="M167" i="10"/>
  <c r="R167" i="10"/>
  <c r="S167" i="10"/>
  <c r="H168" i="10"/>
  <c r="M168" i="10"/>
  <c r="R168" i="10"/>
  <c r="S168" i="10"/>
  <c r="D169" i="10"/>
  <c r="E169" i="10"/>
  <c r="F169" i="10"/>
  <c r="G169" i="10"/>
  <c r="H169" i="10"/>
  <c r="I169" i="10"/>
  <c r="J169" i="10"/>
  <c r="K169" i="10"/>
  <c r="L169" i="10"/>
  <c r="M169" i="10"/>
  <c r="N169" i="10"/>
  <c r="O169" i="10"/>
  <c r="P169" i="10"/>
  <c r="Q169" i="10"/>
  <c r="R169" i="10"/>
  <c r="S169" i="10"/>
  <c r="H170" i="10"/>
  <c r="M170" i="10"/>
  <c r="R170" i="10"/>
  <c r="S170" i="10"/>
  <c r="H171" i="10"/>
  <c r="M171" i="10"/>
  <c r="R171" i="10"/>
  <c r="S171" i="10"/>
  <c r="H172" i="10"/>
  <c r="M172" i="10"/>
  <c r="R172" i="10"/>
  <c r="S172" i="10"/>
  <c r="H173" i="10"/>
  <c r="M173" i="10"/>
  <c r="R173" i="10"/>
  <c r="S173" i="10"/>
  <c r="D174" i="10"/>
  <c r="E174" i="10"/>
  <c r="F174" i="10"/>
  <c r="G174" i="10"/>
  <c r="H174" i="10"/>
  <c r="I174" i="10"/>
  <c r="J174" i="10"/>
  <c r="K174" i="10"/>
  <c r="L174" i="10"/>
  <c r="M174" i="10"/>
  <c r="N174" i="10"/>
  <c r="O174" i="10"/>
  <c r="P174" i="10"/>
  <c r="Q174" i="10"/>
  <c r="R174" i="10"/>
  <c r="S174" i="10"/>
  <c r="H175" i="10"/>
  <c r="M175" i="10"/>
  <c r="R175" i="10"/>
  <c r="S175" i="10"/>
  <c r="H176" i="10"/>
  <c r="M176" i="10"/>
  <c r="R176" i="10"/>
  <c r="S176" i="10"/>
  <c r="H177" i="10"/>
  <c r="M177" i="10"/>
  <c r="R177" i="10"/>
  <c r="S177" i="10"/>
  <c r="H178" i="10"/>
  <c r="M178" i="10"/>
  <c r="R178" i="10"/>
  <c r="S178" i="10"/>
  <c r="D179" i="10"/>
  <c r="E179" i="10"/>
  <c r="F179" i="10"/>
  <c r="G179" i="10"/>
  <c r="H179" i="10"/>
  <c r="I179" i="10"/>
  <c r="J179" i="10"/>
  <c r="K179" i="10"/>
  <c r="L179" i="10"/>
  <c r="M179" i="10"/>
  <c r="N179" i="10"/>
  <c r="O179" i="10"/>
  <c r="P179" i="10"/>
  <c r="Q179" i="10"/>
  <c r="R179" i="10"/>
  <c r="S179" i="10"/>
  <c r="H180" i="10"/>
  <c r="M180" i="10"/>
  <c r="R180" i="10"/>
  <c r="S180" i="10"/>
  <c r="H181" i="10"/>
  <c r="M181" i="10"/>
  <c r="R181" i="10"/>
  <c r="S181" i="10"/>
  <c r="H182" i="10"/>
  <c r="M182" i="10"/>
  <c r="R182" i="10"/>
  <c r="S182" i="10"/>
  <c r="H183" i="10"/>
  <c r="M183" i="10"/>
  <c r="R183" i="10"/>
  <c r="S183" i="10"/>
  <c r="D184" i="10"/>
  <c r="E184" i="10"/>
  <c r="F184" i="10"/>
  <c r="G184" i="10"/>
  <c r="H184" i="10"/>
  <c r="I184" i="10"/>
  <c r="J184" i="10"/>
  <c r="K184" i="10"/>
  <c r="L184" i="10"/>
  <c r="M184" i="10"/>
  <c r="N184" i="10"/>
  <c r="O184" i="10"/>
  <c r="P184" i="10"/>
  <c r="Q184" i="10"/>
  <c r="R184" i="10"/>
  <c r="S184" i="10"/>
  <c r="H185" i="10"/>
  <c r="M185" i="10"/>
  <c r="R185" i="10"/>
  <c r="S185" i="10"/>
  <c r="H186" i="10"/>
  <c r="M186" i="10"/>
  <c r="R186" i="10"/>
  <c r="S186" i="10"/>
  <c r="H187" i="10"/>
  <c r="M187" i="10"/>
  <c r="R187" i="10"/>
  <c r="S187" i="10"/>
  <c r="H188" i="10"/>
  <c r="M188" i="10"/>
  <c r="R188" i="10"/>
  <c r="S188" i="10"/>
  <c r="D189" i="10"/>
  <c r="E189" i="10"/>
  <c r="F189" i="10"/>
  <c r="G189" i="10"/>
  <c r="H189" i="10"/>
  <c r="I189" i="10"/>
  <c r="J189" i="10"/>
  <c r="K189" i="10"/>
  <c r="L189" i="10"/>
  <c r="M189" i="10"/>
  <c r="N189" i="10"/>
  <c r="O189" i="10"/>
  <c r="P189" i="10"/>
  <c r="Q189" i="10"/>
  <c r="R189" i="10"/>
  <c r="S189" i="10"/>
  <c r="H190" i="10"/>
  <c r="M190" i="10"/>
  <c r="R190" i="10"/>
  <c r="S190" i="10"/>
  <c r="H191" i="10"/>
  <c r="M191" i="10"/>
  <c r="R191" i="10"/>
  <c r="S191" i="10"/>
  <c r="H192" i="10"/>
  <c r="M192" i="10"/>
  <c r="R192" i="10"/>
  <c r="S192" i="10"/>
  <c r="H193" i="10"/>
  <c r="M193" i="10"/>
  <c r="R193" i="10"/>
  <c r="S193" i="10"/>
  <c r="D194" i="10"/>
  <c r="E194" i="10"/>
  <c r="F194" i="10"/>
  <c r="G194" i="10"/>
  <c r="H194" i="10"/>
  <c r="I194" i="10"/>
  <c r="J194" i="10"/>
  <c r="K194" i="10"/>
  <c r="L194" i="10"/>
  <c r="M194" i="10"/>
  <c r="N194" i="10"/>
  <c r="O194" i="10"/>
  <c r="P194" i="10"/>
  <c r="Q194" i="10"/>
  <c r="R194" i="10"/>
  <c r="S194" i="10"/>
  <c r="H195" i="10"/>
  <c r="M195" i="10"/>
  <c r="R195" i="10"/>
  <c r="S195" i="10"/>
  <c r="H196" i="10"/>
  <c r="M196" i="10"/>
  <c r="R196" i="10"/>
  <c r="S196" i="10"/>
  <c r="H197" i="10"/>
  <c r="M197" i="10"/>
  <c r="R197" i="10"/>
  <c r="S197" i="10"/>
  <c r="H198" i="10"/>
  <c r="M198" i="10"/>
  <c r="R198" i="10"/>
  <c r="S198" i="10"/>
  <c r="D199" i="10"/>
  <c r="E199" i="10"/>
  <c r="F199" i="10"/>
  <c r="G199" i="10"/>
  <c r="H199" i="10"/>
  <c r="I199" i="10"/>
  <c r="J199" i="10"/>
  <c r="K199" i="10"/>
  <c r="L199" i="10"/>
  <c r="M199" i="10"/>
  <c r="N199" i="10"/>
  <c r="O199" i="10"/>
  <c r="P199" i="10"/>
  <c r="Q199" i="10"/>
  <c r="R199" i="10"/>
  <c r="S199" i="10"/>
  <c r="H200" i="10"/>
  <c r="M200" i="10"/>
  <c r="R200" i="10"/>
  <c r="S200" i="10"/>
  <c r="H201" i="10"/>
  <c r="M201" i="10"/>
  <c r="R201" i="10"/>
  <c r="S201" i="10"/>
  <c r="H202" i="10"/>
  <c r="M202" i="10"/>
  <c r="R202" i="10"/>
  <c r="S202" i="10"/>
  <c r="H203" i="10"/>
  <c r="M203" i="10"/>
  <c r="R203" i="10"/>
  <c r="S203" i="10"/>
  <c r="D204" i="10"/>
  <c r="E204" i="10"/>
  <c r="F204" i="10"/>
  <c r="G204" i="10"/>
  <c r="H204" i="10"/>
  <c r="I204" i="10"/>
  <c r="J204" i="10"/>
  <c r="K204" i="10"/>
  <c r="L204" i="10"/>
  <c r="M204" i="10"/>
  <c r="N204" i="10"/>
  <c r="O204" i="10"/>
  <c r="P204" i="10"/>
  <c r="Q204" i="10"/>
  <c r="R204" i="10"/>
  <c r="S204" i="10"/>
  <c r="D205" i="10"/>
  <c r="E205" i="10"/>
  <c r="F205" i="10"/>
  <c r="G205" i="10"/>
  <c r="H205" i="10"/>
  <c r="I205" i="10"/>
  <c r="J205" i="10"/>
  <c r="K205" i="10"/>
  <c r="L205" i="10"/>
  <c r="M205" i="10"/>
  <c r="N205" i="10"/>
  <c r="O205" i="10"/>
  <c r="P205" i="10"/>
  <c r="Q205" i="10"/>
  <c r="R205" i="10"/>
  <c r="S205" i="10"/>
  <c r="H206" i="10"/>
  <c r="M206" i="10"/>
  <c r="R206" i="10"/>
  <c r="S206" i="10"/>
  <c r="H207" i="10"/>
  <c r="M207" i="10"/>
  <c r="R207" i="10"/>
  <c r="S207" i="10"/>
  <c r="H208" i="10"/>
  <c r="M208" i="10"/>
  <c r="R208" i="10"/>
  <c r="S208" i="10"/>
  <c r="H209" i="10"/>
  <c r="M209" i="10"/>
  <c r="R209" i="10"/>
  <c r="S209" i="10"/>
  <c r="D210" i="10"/>
  <c r="E210" i="10"/>
  <c r="F210" i="10"/>
  <c r="G210" i="10"/>
  <c r="H210" i="10"/>
  <c r="I210" i="10"/>
  <c r="J210" i="10"/>
  <c r="K210" i="10"/>
  <c r="L210" i="10"/>
  <c r="M210" i="10"/>
  <c r="N210" i="10"/>
  <c r="O210" i="10"/>
  <c r="P210" i="10"/>
  <c r="Q210" i="10"/>
  <c r="R210" i="10"/>
  <c r="S210" i="10"/>
  <c r="H211" i="10"/>
  <c r="M211" i="10"/>
  <c r="R211" i="10"/>
  <c r="S211" i="10"/>
  <c r="H212" i="10"/>
  <c r="M212" i="10"/>
  <c r="R212" i="10"/>
  <c r="S212" i="10"/>
  <c r="H213" i="10"/>
  <c r="M213" i="10"/>
  <c r="R213" i="10"/>
  <c r="S213" i="10"/>
  <c r="H214" i="10"/>
  <c r="M214" i="10"/>
  <c r="R214" i="10"/>
  <c r="S214" i="10"/>
  <c r="D215" i="10"/>
  <c r="E215" i="10"/>
  <c r="F215" i="10"/>
  <c r="G215" i="10"/>
  <c r="H215" i="10"/>
  <c r="I215" i="10"/>
  <c r="J215" i="10"/>
  <c r="K215" i="10"/>
  <c r="L215" i="10"/>
  <c r="M215" i="10"/>
  <c r="N215" i="10"/>
  <c r="O215" i="10"/>
  <c r="P215" i="10"/>
  <c r="Q215" i="10"/>
  <c r="R215" i="10"/>
  <c r="S215" i="10"/>
  <c r="H216" i="10"/>
  <c r="M216" i="10"/>
  <c r="R216" i="10"/>
  <c r="S216" i="10"/>
  <c r="H217" i="10"/>
  <c r="M217" i="10"/>
  <c r="R217" i="10"/>
  <c r="S217" i="10"/>
  <c r="H218" i="10"/>
  <c r="M218" i="10"/>
  <c r="R218" i="10"/>
  <c r="S218" i="10"/>
  <c r="H219" i="10"/>
  <c r="M219" i="10"/>
  <c r="R219" i="10"/>
  <c r="S219" i="10"/>
  <c r="D220" i="10"/>
  <c r="E220" i="10"/>
  <c r="F220" i="10"/>
  <c r="G220" i="10"/>
  <c r="H220" i="10"/>
  <c r="I220" i="10"/>
  <c r="J220" i="10"/>
  <c r="K220" i="10"/>
  <c r="L220" i="10"/>
  <c r="M220" i="10"/>
  <c r="N220" i="10"/>
  <c r="O220" i="10"/>
  <c r="P220" i="10"/>
  <c r="Q220" i="10"/>
  <c r="R220" i="10"/>
  <c r="S220" i="10"/>
  <c r="H221" i="10"/>
  <c r="M221" i="10"/>
  <c r="R221" i="10"/>
  <c r="S221" i="10"/>
  <c r="H222" i="10"/>
  <c r="M222" i="10"/>
  <c r="R222" i="10"/>
  <c r="S222" i="10"/>
  <c r="H223" i="10"/>
  <c r="M223" i="10"/>
  <c r="R223" i="10"/>
  <c r="S223" i="10"/>
  <c r="H224" i="10"/>
  <c r="M224" i="10"/>
  <c r="R224" i="10"/>
  <c r="S224" i="10"/>
  <c r="D225" i="10"/>
  <c r="E225" i="10"/>
  <c r="F225" i="10"/>
  <c r="G225" i="10"/>
  <c r="H225" i="10"/>
  <c r="I225" i="10"/>
  <c r="J225" i="10"/>
  <c r="K225" i="10"/>
  <c r="L225" i="10"/>
  <c r="M225" i="10"/>
  <c r="N225" i="10"/>
  <c r="O225" i="10"/>
  <c r="P225" i="10"/>
  <c r="Q225" i="10"/>
  <c r="R225" i="10"/>
  <c r="S225" i="10"/>
  <c r="H226" i="10"/>
  <c r="M226" i="10"/>
  <c r="R226" i="10"/>
  <c r="S226" i="10"/>
  <c r="H227" i="10"/>
  <c r="M227" i="10"/>
  <c r="R227" i="10"/>
  <c r="S227" i="10"/>
  <c r="H228" i="10"/>
  <c r="M228" i="10"/>
  <c r="R228" i="10"/>
  <c r="S228" i="10"/>
  <c r="H229" i="10"/>
  <c r="M229" i="10"/>
  <c r="R229" i="10"/>
  <c r="S229" i="10"/>
  <c r="D230" i="10"/>
  <c r="E230" i="10"/>
  <c r="F230" i="10"/>
  <c r="G230" i="10"/>
  <c r="H230" i="10"/>
  <c r="I230" i="10"/>
  <c r="J230" i="10"/>
  <c r="K230" i="10"/>
  <c r="L230" i="10"/>
  <c r="M230" i="10"/>
  <c r="N230" i="10"/>
  <c r="O230" i="10"/>
  <c r="P230" i="10"/>
  <c r="Q230" i="10"/>
  <c r="R230" i="10"/>
  <c r="S230" i="10"/>
  <c r="H231" i="10"/>
  <c r="M231" i="10"/>
  <c r="R231" i="10"/>
  <c r="S231" i="10"/>
  <c r="H232" i="10"/>
  <c r="M232" i="10"/>
  <c r="R232" i="10"/>
  <c r="S232" i="10"/>
  <c r="H233" i="10"/>
  <c r="M233" i="10"/>
  <c r="R233" i="10"/>
  <c r="S233" i="10"/>
  <c r="H234" i="10"/>
  <c r="M234" i="10"/>
  <c r="R234" i="10"/>
  <c r="S234" i="10"/>
  <c r="D235" i="10"/>
  <c r="E235" i="10"/>
  <c r="F235" i="10"/>
  <c r="G235" i="10"/>
  <c r="H235" i="10"/>
  <c r="I235" i="10"/>
  <c r="J235" i="10"/>
  <c r="K235" i="10"/>
  <c r="L235" i="10"/>
  <c r="M235" i="10"/>
  <c r="N235" i="10"/>
  <c r="O235" i="10"/>
  <c r="P235" i="10"/>
  <c r="Q235" i="10"/>
  <c r="R235" i="10"/>
  <c r="S235" i="10"/>
  <c r="H236" i="10"/>
  <c r="M236" i="10"/>
  <c r="R236" i="10"/>
  <c r="S236" i="10"/>
  <c r="H237" i="10"/>
  <c r="M237" i="10"/>
  <c r="R237" i="10"/>
  <c r="S237" i="10"/>
  <c r="H238" i="10"/>
  <c r="M238" i="10"/>
  <c r="R238" i="10"/>
  <c r="S238" i="10"/>
  <c r="H239" i="10"/>
  <c r="M239" i="10"/>
  <c r="R239" i="10"/>
  <c r="S239" i="10"/>
  <c r="D240" i="10"/>
  <c r="E240" i="10"/>
  <c r="F240" i="10"/>
  <c r="G240" i="10"/>
  <c r="H240" i="10"/>
  <c r="I240" i="10"/>
  <c r="J240" i="10"/>
  <c r="K240" i="10"/>
  <c r="L240" i="10"/>
  <c r="M240" i="10"/>
  <c r="N240" i="10"/>
  <c r="O240" i="10"/>
  <c r="P240" i="10"/>
  <c r="Q240" i="10"/>
  <c r="R240" i="10"/>
  <c r="S240" i="10"/>
  <c r="H241" i="10"/>
  <c r="M241" i="10"/>
  <c r="R241" i="10"/>
  <c r="S241" i="10"/>
  <c r="H242" i="10"/>
  <c r="M242" i="10"/>
  <c r="R242" i="10"/>
  <c r="S242" i="10"/>
  <c r="H243" i="10"/>
  <c r="M243" i="10"/>
  <c r="R243" i="10"/>
  <c r="S243" i="10"/>
  <c r="H244" i="10"/>
  <c r="M244" i="10"/>
  <c r="R244" i="10"/>
  <c r="S244" i="10"/>
  <c r="D245" i="10"/>
  <c r="E245" i="10"/>
  <c r="F245" i="10"/>
  <c r="G245" i="10"/>
  <c r="H245" i="10"/>
  <c r="I245" i="10"/>
  <c r="J245" i="10"/>
  <c r="K245" i="10"/>
  <c r="L245" i="10"/>
  <c r="M245" i="10"/>
  <c r="N245" i="10"/>
  <c r="O245" i="10"/>
  <c r="P245" i="10"/>
  <c r="Q245" i="10"/>
  <c r="R245" i="10"/>
  <c r="S245" i="10"/>
  <c r="H246" i="10"/>
  <c r="M246" i="10"/>
  <c r="R246" i="10"/>
  <c r="S246" i="10"/>
  <c r="H247" i="10"/>
  <c r="M247" i="10"/>
  <c r="R247" i="10"/>
  <c r="S247" i="10"/>
  <c r="H248" i="10"/>
  <c r="M248" i="10"/>
  <c r="R248" i="10"/>
  <c r="S248" i="10"/>
  <c r="H249" i="10"/>
  <c r="M249" i="10"/>
  <c r="R249" i="10"/>
  <c r="S249" i="10"/>
  <c r="D250" i="10"/>
  <c r="E250" i="10"/>
  <c r="F250" i="10"/>
  <c r="G250" i="10"/>
  <c r="H250" i="10"/>
  <c r="I250" i="10"/>
  <c r="J250" i="10"/>
  <c r="K250" i="10"/>
  <c r="L250" i="10"/>
  <c r="M250" i="10"/>
  <c r="N250" i="10"/>
  <c r="O250" i="10"/>
  <c r="P250" i="10"/>
  <c r="Q250" i="10"/>
  <c r="R250" i="10"/>
  <c r="S250" i="10"/>
  <c r="H251" i="10"/>
  <c r="M251" i="10"/>
  <c r="R251" i="10"/>
  <c r="S251" i="10"/>
  <c r="H252" i="10"/>
  <c r="M252" i="10"/>
  <c r="R252" i="10"/>
  <c r="S252" i="10"/>
  <c r="H253" i="10"/>
  <c r="M253" i="10"/>
  <c r="R253" i="10"/>
  <c r="S253" i="10"/>
  <c r="H254" i="10"/>
  <c r="M254" i="10"/>
  <c r="R254" i="10"/>
  <c r="S254" i="10"/>
  <c r="D255" i="10"/>
  <c r="E255" i="10"/>
  <c r="F255" i="10"/>
  <c r="G255" i="10"/>
  <c r="H255" i="10"/>
  <c r="I255" i="10"/>
  <c r="J255" i="10"/>
  <c r="K255" i="10"/>
  <c r="L255" i="10"/>
  <c r="M255" i="10"/>
  <c r="N255" i="10"/>
  <c r="O255" i="10"/>
  <c r="P255" i="10"/>
  <c r="Q255" i="10"/>
  <c r="R255" i="10"/>
  <c r="S255" i="10"/>
  <c r="H256" i="10"/>
  <c r="M256" i="10"/>
  <c r="R256" i="10"/>
  <c r="S256" i="10"/>
  <c r="H257" i="10"/>
  <c r="M257" i="10"/>
  <c r="R257" i="10"/>
  <c r="S257" i="10"/>
  <c r="H258" i="10"/>
  <c r="M258" i="10"/>
  <c r="R258" i="10"/>
  <c r="S258" i="10"/>
  <c r="H259" i="10"/>
  <c r="M259" i="10"/>
  <c r="R259" i="10"/>
  <c r="S259" i="10"/>
  <c r="D260" i="10"/>
  <c r="E260" i="10"/>
  <c r="F260" i="10"/>
  <c r="G260" i="10"/>
  <c r="H260" i="10"/>
  <c r="I260" i="10"/>
  <c r="J260" i="10"/>
  <c r="K260" i="10"/>
  <c r="L260" i="10"/>
  <c r="M260" i="10"/>
  <c r="N260" i="10"/>
  <c r="O260" i="10"/>
  <c r="P260" i="10"/>
  <c r="Q260" i="10"/>
  <c r="R260" i="10"/>
  <c r="S260" i="10"/>
  <c r="H261" i="10"/>
  <c r="M261" i="10"/>
  <c r="R261" i="10"/>
  <c r="S261" i="10"/>
  <c r="H262" i="10"/>
  <c r="M262" i="10"/>
  <c r="R262" i="10"/>
  <c r="S262" i="10"/>
  <c r="H263" i="10"/>
  <c r="M263" i="10"/>
  <c r="R263" i="10"/>
  <c r="S263" i="10"/>
  <c r="H264" i="10"/>
  <c r="M264" i="10"/>
  <c r="R264" i="10"/>
  <c r="S264" i="10"/>
  <c r="D265" i="10"/>
  <c r="E265" i="10"/>
  <c r="F265" i="10"/>
  <c r="G265" i="10"/>
  <c r="H265" i="10"/>
  <c r="I265" i="10"/>
  <c r="J265" i="10"/>
  <c r="K265" i="10"/>
  <c r="L265" i="10"/>
  <c r="M265" i="10"/>
  <c r="N265" i="10"/>
  <c r="O265" i="10"/>
  <c r="P265" i="10"/>
  <c r="Q265" i="10"/>
  <c r="R265" i="10"/>
  <c r="S265" i="10"/>
  <c r="D266" i="10"/>
  <c r="E266" i="10"/>
  <c r="F266" i="10"/>
  <c r="G266" i="10"/>
  <c r="H266" i="10"/>
  <c r="I266" i="10"/>
  <c r="J266" i="10"/>
  <c r="K266" i="10"/>
  <c r="L266" i="10"/>
  <c r="M266" i="10"/>
  <c r="N266" i="10"/>
  <c r="O266" i="10"/>
  <c r="P266" i="10"/>
  <c r="Q266" i="10"/>
  <c r="R266" i="10"/>
  <c r="S266" i="10"/>
  <c r="H267" i="10"/>
  <c r="M267" i="10"/>
  <c r="R267" i="10"/>
  <c r="S267" i="10"/>
  <c r="H268" i="10"/>
  <c r="M268" i="10"/>
  <c r="R268" i="10"/>
  <c r="S268" i="10"/>
  <c r="H269" i="10"/>
  <c r="M269" i="10"/>
  <c r="R269" i="10"/>
  <c r="S269" i="10"/>
  <c r="H270" i="10"/>
  <c r="M270" i="10"/>
  <c r="R270" i="10"/>
  <c r="S270" i="10"/>
  <c r="D271" i="10"/>
  <c r="E271" i="10"/>
  <c r="F271" i="10"/>
  <c r="G271" i="10"/>
  <c r="H271" i="10"/>
  <c r="I271" i="10"/>
  <c r="J271" i="10"/>
  <c r="K271" i="10"/>
  <c r="L271" i="10"/>
  <c r="M271" i="10"/>
  <c r="N271" i="10"/>
  <c r="O271" i="10"/>
  <c r="P271" i="10"/>
  <c r="Q271" i="10"/>
  <c r="R271" i="10"/>
  <c r="S271" i="10"/>
  <c r="H272" i="10"/>
  <c r="M272" i="10"/>
  <c r="R272" i="10"/>
  <c r="S272" i="10"/>
  <c r="H273" i="10"/>
  <c r="M273" i="10"/>
  <c r="R273" i="10"/>
  <c r="S273" i="10"/>
  <c r="H274" i="10"/>
  <c r="M274" i="10"/>
  <c r="R274" i="10"/>
  <c r="S274" i="10"/>
  <c r="H275" i="10"/>
  <c r="M275" i="10"/>
  <c r="R275" i="10"/>
  <c r="S275" i="10"/>
  <c r="D276" i="10"/>
  <c r="E276" i="10"/>
  <c r="F276" i="10"/>
  <c r="G276" i="10"/>
  <c r="H276" i="10"/>
  <c r="I276" i="10"/>
  <c r="J276" i="10"/>
  <c r="K276" i="10"/>
  <c r="L276" i="10"/>
  <c r="M276" i="10"/>
  <c r="N276" i="10"/>
  <c r="O276" i="10"/>
  <c r="P276" i="10"/>
  <c r="Q276" i="10"/>
  <c r="R276" i="10"/>
  <c r="S276" i="10"/>
  <c r="D277" i="10"/>
  <c r="E277" i="10"/>
  <c r="F277" i="10"/>
  <c r="G277" i="10"/>
  <c r="H277" i="10"/>
  <c r="I277" i="10"/>
  <c r="J277" i="10"/>
  <c r="K277" i="10"/>
  <c r="L277" i="10"/>
  <c r="M277" i="10"/>
  <c r="N277" i="10"/>
  <c r="O277" i="10"/>
  <c r="P277" i="10"/>
  <c r="Q277" i="10"/>
  <c r="R277" i="10"/>
  <c r="S277" i="10"/>
  <c r="H278" i="10"/>
  <c r="M278" i="10"/>
  <c r="R278" i="10"/>
  <c r="S278" i="10"/>
  <c r="H279" i="10"/>
  <c r="M279" i="10"/>
  <c r="R279" i="10"/>
  <c r="S279" i="10"/>
  <c r="H280" i="10"/>
  <c r="M280" i="10"/>
  <c r="R280" i="10"/>
  <c r="S280" i="10"/>
  <c r="H281" i="10"/>
  <c r="M281" i="10"/>
  <c r="R281" i="10"/>
  <c r="S281" i="10"/>
  <c r="D282" i="10"/>
  <c r="E282" i="10"/>
  <c r="F282" i="10"/>
  <c r="G282" i="10"/>
  <c r="H282" i="10"/>
  <c r="I282" i="10"/>
  <c r="J282" i="10"/>
  <c r="K282" i="10"/>
  <c r="L282" i="10"/>
  <c r="M282" i="10"/>
  <c r="N282" i="10"/>
  <c r="O282" i="10"/>
  <c r="P282" i="10"/>
  <c r="Q282" i="10"/>
  <c r="R282" i="10"/>
  <c r="S282" i="10"/>
  <c r="H283" i="10"/>
  <c r="M283" i="10"/>
  <c r="R283" i="10"/>
  <c r="S283" i="10"/>
  <c r="H284" i="10"/>
  <c r="M284" i="10"/>
  <c r="R284" i="10"/>
  <c r="S284" i="10"/>
  <c r="H285" i="10"/>
  <c r="M285" i="10"/>
  <c r="R285" i="10"/>
  <c r="S285" i="10"/>
  <c r="H286" i="10"/>
  <c r="M286" i="10"/>
  <c r="R286" i="10"/>
  <c r="S286" i="10"/>
  <c r="D287" i="10"/>
  <c r="E287" i="10"/>
  <c r="F287" i="10"/>
  <c r="G287" i="10"/>
  <c r="H287" i="10"/>
  <c r="I287" i="10"/>
  <c r="J287" i="10"/>
  <c r="K287" i="10"/>
  <c r="L287" i="10"/>
  <c r="M287" i="10"/>
  <c r="N287" i="10"/>
  <c r="O287" i="10"/>
  <c r="P287" i="10"/>
  <c r="Q287" i="10"/>
  <c r="R287" i="10"/>
  <c r="S287" i="10"/>
  <c r="H288" i="10"/>
  <c r="M288" i="10"/>
  <c r="R288" i="10"/>
  <c r="S288" i="10"/>
  <c r="H289" i="10"/>
  <c r="M289" i="10"/>
  <c r="R289" i="10"/>
  <c r="S289" i="10"/>
  <c r="H290" i="10"/>
  <c r="M290" i="10"/>
  <c r="R290" i="10"/>
  <c r="S290" i="10"/>
  <c r="H291" i="10"/>
  <c r="M291" i="10"/>
  <c r="R291" i="10"/>
  <c r="S291" i="10"/>
  <c r="D292" i="10"/>
  <c r="E292" i="10"/>
  <c r="F292" i="10"/>
  <c r="G292" i="10"/>
  <c r="H292" i="10"/>
  <c r="I292" i="10"/>
  <c r="J292" i="10"/>
  <c r="K292" i="10"/>
  <c r="L292" i="10"/>
  <c r="M292" i="10"/>
  <c r="N292" i="10"/>
  <c r="O292" i="10"/>
  <c r="P292" i="10"/>
  <c r="Q292" i="10"/>
  <c r="R292" i="10"/>
  <c r="S292" i="10"/>
  <c r="H293" i="10"/>
  <c r="M293" i="10"/>
  <c r="R293" i="10"/>
  <c r="S293" i="10"/>
  <c r="H294" i="10"/>
  <c r="M294" i="10"/>
  <c r="R294" i="10"/>
  <c r="S294" i="10"/>
  <c r="H295" i="10"/>
  <c r="M295" i="10"/>
  <c r="R295" i="10"/>
  <c r="S295" i="10"/>
  <c r="H296" i="10"/>
  <c r="M296" i="10"/>
  <c r="R296" i="10"/>
  <c r="S296" i="10"/>
  <c r="D297" i="10"/>
  <c r="E297" i="10"/>
  <c r="F297" i="10"/>
  <c r="G297" i="10"/>
  <c r="H297" i="10"/>
  <c r="I297" i="10"/>
  <c r="J297" i="10"/>
  <c r="K297" i="10"/>
  <c r="L297" i="10"/>
  <c r="M297" i="10"/>
  <c r="N297" i="10"/>
  <c r="O297" i="10"/>
  <c r="P297" i="10"/>
  <c r="Q297" i="10"/>
  <c r="R297" i="10"/>
  <c r="S297" i="10"/>
  <c r="H298" i="10"/>
  <c r="M298" i="10"/>
  <c r="R298" i="10"/>
  <c r="S298" i="10"/>
  <c r="H299" i="10"/>
  <c r="M299" i="10"/>
  <c r="R299" i="10"/>
  <c r="S299" i="10"/>
  <c r="H300" i="10"/>
  <c r="M300" i="10"/>
  <c r="R300" i="10"/>
  <c r="S300" i="10"/>
  <c r="H301" i="10"/>
  <c r="M301" i="10"/>
  <c r="R301" i="10"/>
  <c r="S301" i="10"/>
  <c r="D302" i="10"/>
  <c r="E302" i="10"/>
  <c r="F302" i="10"/>
  <c r="G302" i="10"/>
  <c r="H302" i="10"/>
  <c r="I302" i="10"/>
  <c r="J302" i="10"/>
  <c r="K302" i="10"/>
  <c r="L302" i="10"/>
  <c r="M302" i="10"/>
  <c r="N302" i="10"/>
  <c r="O302" i="10"/>
  <c r="P302" i="10"/>
  <c r="Q302" i="10"/>
  <c r="R302" i="10"/>
  <c r="S302" i="10"/>
  <c r="H303" i="10"/>
  <c r="M303" i="10"/>
  <c r="R303" i="10"/>
  <c r="S303" i="10"/>
  <c r="H304" i="10"/>
  <c r="M304" i="10"/>
  <c r="R304" i="10"/>
  <c r="S304" i="10"/>
  <c r="H305" i="10"/>
  <c r="M305" i="10"/>
  <c r="R305" i="10"/>
  <c r="S305" i="10"/>
  <c r="H306" i="10"/>
  <c r="M306" i="10"/>
  <c r="R306" i="10"/>
  <c r="S306" i="10"/>
  <c r="D307" i="10"/>
  <c r="E307" i="10"/>
  <c r="F307" i="10"/>
  <c r="G307" i="10"/>
  <c r="H307" i="10"/>
  <c r="I307" i="10"/>
  <c r="J307" i="10"/>
  <c r="K307" i="10"/>
  <c r="L307" i="10"/>
  <c r="M307" i="10"/>
  <c r="N307" i="10"/>
  <c r="O307" i="10"/>
  <c r="P307" i="10"/>
  <c r="Q307" i="10"/>
  <c r="R307" i="10"/>
  <c r="S307" i="10"/>
  <c r="H308" i="10"/>
  <c r="M308" i="10"/>
  <c r="R308" i="10"/>
  <c r="S308" i="10"/>
  <c r="H309" i="10"/>
  <c r="M309" i="10"/>
  <c r="R309" i="10"/>
  <c r="S309" i="10"/>
  <c r="H310" i="10"/>
  <c r="M310" i="10"/>
  <c r="R310" i="10"/>
  <c r="S310" i="10"/>
  <c r="H311" i="10"/>
  <c r="M311" i="10"/>
  <c r="R311" i="10"/>
  <c r="S311" i="10"/>
  <c r="D312" i="10"/>
  <c r="E312" i="10"/>
  <c r="F312" i="10"/>
  <c r="G312" i="10"/>
  <c r="H312" i="10"/>
  <c r="I312" i="10"/>
  <c r="J312" i="10"/>
  <c r="K312" i="10"/>
  <c r="L312" i="10"/>
  <c r="M312" i="10"/>
  <c r="N312" i="10"/>
  <c r="O312" i="10"/>
  <c r="P312" i="10"/>
  <c r="Q312" i="10"/>
  <c r="R312" i="10"/>
  <c r="S312" i="10"/>
  <c r="H313" i="10"/>
  <c r="M313" i="10"/>
  <c r="R313" i="10"/>
  <c r="S313" i="10"/>
  <c r="H314" i="10"/>
  <c r="M314" i="10"/>
  <c r="R314" i="10"/>
  <c r="S314" i="10"/>
  <c r="H315" i="10"/>
  <c r="M315" i="10"/>
  <c r="R315" i="10"/>
  <c r="S315" i="10"/>
  <c r="H316" i="10"/>
  <c r="M316" i="10"/>
  <c r="R316" i="10"/>
  <c r="S316" i="10"/>
  <c r="D317" i="10"/>
  <c r="E317" i="10"/>
  <c r="F317" i="10"/>
  <c r="G317" i="10"/>
  <c r="H317" i="10"/>
  <c r="I317" i="10"/>
  <c r="J317" i="10"/>
  <c r="K317" i="10"/>
  <c r="L317" i="10"/>
  <c r="M317" i="10"/>
  <c r="N317" i="10"/>
  <c r="O317" i="10"/>
  <c r="P317" i="10"/>
  <c r="Q317" i="10"/>
  <c r="R317" i="10"/>
  <c r="S317" i="10"/>
  <c r="H318" i="10"/>
  <c r="M318" i="10"/>
  <c r="R318" i="10"/>
  <c r="S318" i="10"/>
  <c r="H319" i="10"/>
  <c r="M319" i="10"/>
  <c r="R319" i="10"/>
  <c r="S319" i="10"/>
  <c r="H320" i="10"/>
  <c r="M320" i="10"/>
  <c r="R320" i="10"/>
  <c r="S320" i="10"/>
  <c r="H321" i="10"/>
  <c r="M321" i="10"/>
  <c r="R321" i="10"/>
  <c r="S321" i="10"/>
  <c r="D322" i="10"/>
  <c r="E322" i="10"/>
  <c r="F322" i="10"/>
  <c r="G322" i="10"/>
  <c r="H322" i="10"/>
  <c r="I322" i="10"/>
  <c r="J322" i="10"/>
  <c r="K322" i="10"/>
  <c r="L322" i="10"/>
  <c r="M322" i="10"/>
  <c r="N322" i="10"/>
  <c r="O322" i="10"/>
  <c r="P322" i="10"/>
  <c r="Q322" i="10"/>
  <c r="R322" i="10"/>
  <c r="S322" i="10"/>
  <c r="H323" i="10"/>
  <c r="M323" i="10"/>
  <c r="R323" i="10"/>
  <c r="S323" i="10"/>
  <c r="H324" i="10"/>
  <c r="M324" i="10"/>
  <c r="R324" i="10"/>
  <c r="S324" i="10"/>
  <c r="H325" i="10"/>
  <c r="M325" i="10"/>
  <c r="R325" i="10"/>
  <c r="S325" i="10"/>
  <c r="H326" i="10"/>
  <c r="M326" i="10"/>
  <c r="R326" i="10"/>
  <c r="S326" i="10"/>
  <c r="D327" i="10"/>
  <c r="E327" i="10"/>
  <c r="F327" i="10"/>
  <c r="G327" i="10"/>
  <c r="H327" i="10"/>
  <c r="I327" i="10"/>
  <c r="J327" i="10"/>
  <c r="K327" i="10"/>
  <c r="L327" i="10"/>
  <c r="M327" i="10"/>
  <c r="N327" i="10"/>
  <c r="O327" i="10"/>
  <c r="P327" i="10"/>
  <c r="Q327" i="10"/>
  <c r="R327" i="10"/>
  <c r="S327" i="10"/>
  <c r="H328" i="10"/>
  <c r="M328" i="10"/>
  <c r="R328" i="10"/>
  <c r="S328" i="10"/>
  <c r="H329" i="10"/>
  <c r="M329" i="10"/>
  <c r="R329" i="10"/>
  <c r="S329" i="10"/>
  <c r="H330" i="10"/>
  <c r="M330" i="10"/>
  <c r="R330" i="10"/>
  <c r="S330" i="10"/>
  <c r="H331" i="10"/>
  <c r="M331" i="10"/>
  <c r="R331" i="10"/>
  <c r="S331" i="10"/>
  <c r="D332" i="10"/>
  <c r="E332" i="10"/>
  <c r="F332" i="10"/>
  <c r="G332" i="10"/>
  <c r="H332" i="10"/>
  <c r="I332" i="10"/>
  <c r="J332" i="10"/>
  <c r="K332" i="10"/>
  <c r="L332" i="10"/>
  <c r="M332" i="10"/>
  <c r="N332" i="10"/>
  <c r="O332" i="10"/>
  <c r="P332" i="10"/>
  <c r="Q332" i="10"/>
  <c r="R332" i="10"/>
  <c r="S332" i="10"/>
  <c r="H333" i="10"/>
  <c r="M333" i="10"/>
  <c r="R333" i="10"/>
  <c r="S333" i="10"/>
  <c r="H334" i="10"/>
  <c r="M334" i="10"/>
  <c r="R334" i="10"/>
  <c r="S334" i="10"/>
  <c r="H335" i="10"/>
  <c r="M335" i="10"/>
  <c r="R335" i="10"/>
  <c r="S335" i="10"/>
  <c r="H336" i="10"/>
  <c r="M336" i="10"/>
  <c r="R336" i="10"/>
  <c r="S336" i="10"/>
  <c r="D337" i="10"/>
  <c r="E337" i="10"/>
  <c r="F337" i="10"/>
  <c r="G337" i="10"/>
  <c r="H337" i="10"/>
  <c r="I337" i="10"/>
  <c r="J337" i="10"/>
  <c r="K337" i="10"/>
  <c r="L337" i="10"/>
  <c r="M337" i="10"/>
  <c r="N337" i="10"/>
  <c r="O337" i="10"/>
  <c r="P337" i="10"/>
  <c r="Q337" i="10"/>
  <c r="R337" i="10"/>
  <c r="S337" i="10"/>
  <c r="H338" i="10"/>
  <c r="M338" i="10"/>
  <c r="R338" i="10"/>
  <c r="S338" i="10"/>
  <c r="H339" i="10"/>
  <c r="M339" i="10"/>
  <c r="R339" i="10"/>
  <c r="S339" i="10"/>
  <c r="H340" i="10"/>
  <c r="M340" i="10"/>
  <c r="R340" i="10"/>
  <c r="S340" i="10"/>
  <c r="H341" i="10"/>
  <c r="M341" i="10"/>
  <c r="R341" i="10"/>
  <c r="S341" i="10"/>
  <c r="D342" i="10"/>
  <c r="E342" i="10"/>
  <c r="F342" i="10"/>
  <c r="G342" i="10"/>
  <c r="H342" i="10"/>
  <c r="I342" i="10"/>
  <c r="J342" i="10"/>
  <c r="K342" i="10"/>
  <c r="L342" i="10"/>
  <c r="M342" i="10"/>
  <c r="N342" i="10"/>
  <c r="O342" i="10"/>
  <c r="P342" i="10"/>
  <c r="Q342" i="10"/>
  <c r="R342" i="10"/>
  <c r="S342" i="10"/>
  <c r="H343" i="10"/>
  <c r="M343" i="10"/>
  <c r="R343" i="10"/>
  <c r="S343" i="10"/>
  <c r="H344" i="10"/>
  <c r="M344" i="10"/>
  <c r="R344" i="10"/>
  <c r="S344" i="10"/>
  <c r="H345" i="10"/>
  <c r="M345" i="10"/>
  <c r="R345" i="10"/>
  <c r="S345" i="10"/>
  <c r="H346" i="10"/>
  <c r="M346" i="10"/>
  <c r="R346" i="10"/>
  <c r="S346" i="10"/>
  <c r="D347" i="10"/>
  <c r="E347" i="10"/>
  <c r="F347" i="10"/>
  <c r="G347" i="10"/>
  <c r="H347" i="10"/>
  <c r="I347" i="10"/>
  <c r="J347" i="10"/>
  <c r="K347" i="10"/>
  <c r="L347" i="10"/>
  <c r="M347" i="10"/>
  <c r="N347" i="10"/>
  <c r="O347" i="10"/>
  <c r="P347" i="10"/>
  <c r="Q347" i="10"/>
  <c r="R347" i="10"/>
  <c r="S347" i="10"/>
  <c r="D348" i="10"/>
  <c r="E348" i="10"/>
  <c r="F348" i="10"/>
  <c r="G348" i="10"/>
  <c r="H348" i="10"/>
  <c r="I348" i="10"/>
  <c r="J348" i="10"/>
  <c r="K348" i="10"/>
  <c r="L348" i="10"/>
  <c r="M348" i="10"/>
  <c r="N348" i="10"/>
  <c r="O348" i="10"/>
  <c r="P348" i="10"/>
  <c r="Q348" i="10"/>
  <c r="R348" i="10"/>
  <c r="S348" i="10"/>
  <c r="H349" i="10"/>
  <c r="M349" i="10"/>
  <c r="R349" i="10"/>
  <c r="S349" i="10"/>
  <c r="H350" i="10"/>
  <c r="M350" i="10"/>
  <c r="R350" i="10"/>
  <c r="S350" i="10"/>
  <c r="H351" i="10"/>
  <c r="M351" i="10"/>
  <c r="R351" i="10"/>
  <c r="S351" i="10"/>
  <c r="H352" i="10"/>
  <c r="M352" i="10"/>
  <c r="R352" i="10"/>
  <c r="S352" i="10"/>
  <c r="D353" i="10"/>
  <c r="E353" i="10"/>
  <c r="F353" i="10"/>
  <c r="G353" i="10"/>
  <c r="H353" i="10"/>
  <c r="I353" i="10"/>
  <c r="J353" i="10"/>
  <c r="K353" i="10"/>
  <c r="L353" i="10"/>
  <c r="M353" i="10"/>
  <c r="N353" i="10"/>
  <c r="O353" i="10"/>
  <c r="P353" i="10"/>
  <c r="Q353" i="10"/>
  <c r="R353" i="10"/>
  <c r="S353" i="10"/>
  <c r="H354" i="10"/>
  <c r="M354" i="10"/>
  <c r="R354" i="10"/>
  <c r="S354" i="10"/>
  <c r="H355" i="10"/>
  <c r="M355" i="10"/>
  <c r="R355" i="10"/>
  <c r="S355" i="10"/>
  <c r="H356" i="10"/>
  <c r="M356" i="10"/>
  <c r="R356" i="10"/>
  <c r="S356" i="10"/>
  <c r="H357" i="10"/>
  <c r="M357" i="10"/>
  <c r="R357" i="10"/>
  <c r="S357" i="10"/>
  <c r="D358" i="10"/>
  <c r="E358" i="10"/>
  <c r="F358" i="10"/>
  <c r="G358" i="10"/>
  <c r="H358" i="10"/>
  <c r="I358" i="10"/>
  <c r="J358" i="10"/>
  <c r="K358" i="10"/>
  <c r="L358" i="10"/>
  <c r="M358" i="10"/>
  <c r="N358" i="10"/>
  <c r="O358" i="10"/>
  <c r="P358" i="10"/>
  <c r="Q358" i="10"/>
  <c r="R358" i="10"/>
  <c r="S358" i="10"/>
  <c r="D359" i="10"/>
  <c r="E359" i="10"/>
  <c r="F359" i="10"/>
  <c r="G359" i="10"/>
  <c r="H359" i="10"/>
  <c r="I359" i="10"/>
  <c r="J359" i="10"/>
  <c r="K359" i="10"/>
  <c r="L359" i="10"/>
  <c r="M359" i="10"/>
  <c r="N359" i="10"/>
  <c r="O359" i="10"/>
  <c r="P359" i="10"/>
  <c r="Q359" i="10"/>
  <c r="R359" i="10"/>
  <c r="S359" i="10"/>
  <c r="H360" i="10"/>
  <c r="M360" i="10"/>
  <c r="R360" i="10"/>
  <c r="S360" i="10"/>
  <c r="H361" i="10"/>
  <c r="M361" i="10"/>
  <c r="R361" i="10"/>
  <c r="S361" i="10"/>
  <c r="H362" i="10"/>
  <c r="M362" i="10"/>
  <c r="R362" i="10"/>
  <c r="S362" i="10"/>
  <c r="H363" i="10"/>
  <c r="M363" i="10"/>
  <c r="R363" i="10"/>
  <c r="S363" i="10"/>
  <c r="D364" i="10"/>
  <c r="E364" i="10"/>
  <c r="F364" i="10"/>
  <c r="G364" i="10"/>
  <c r="H364" i="10"/>
  <c r="I364" i="10"/>
  <c r="J364" i="10"/>
  <c r="K364" i="10"/>
  <c r="L364" i="10"/>
  <c r="M364" i="10"/>
  <c r="N364" i="10"/>
  <c r="O364" i="10"/>
  <c r="P364" i="10"/>
  <c r="Q364" i="10"/>
  <c r="R364" i="10"/>
  <c r="S364" i="10"/>
  <c r="H365" i="10"/>
  <c r="M365" i="10"/>
  <c r="R365" i="10"/>
  <c r="S365" i="10"/>
  <c r="H366" i="10"/>
  <c r="M366" i="10"/>
  <c r="R366" i="10"/>
  <c r="S366" i="10"/>
  <c r="H367" i="10"/>
  <c r="M367" i="10"/>
  <c r="R367" i="10"/>
  <c r="S367" i="10"/>
  <c r="H368" i="10"/>
  <c r="M368" i="10"/>
  <c r="R368" i="10"/>
  <c r="S368" i="10"/>
  <c r="D369" i="10"/>
  <c r="E369" i="10"/>
  <c r="F369" i="10"/>
  <c r="G369" i="10"/>
  <c r="H369" i="10"/>
  <c r="I369" i="10"/>
  <c r="J369" i="10"/>
  <c r="K369" i="10"/>
  <c r="L369" i="10"/>
  <c r="M369" i="10"/>
  <c r="N369" i="10"/>
  <c r="O369" i="10"/>
  <c r="P369" i="10"/>
  <c r="Q369" i="10"/>
  <c r="R369" i="10"/>
  <c r="S369" i="10"/>
  <c r="H370" i="10"/>
  <c r="M370" i="10"/>
  <c r="R370" i="10"/>
  <c r="S370" i="10"/>
  <c r="H371" i="10"/>
  <c r="M371" i="10"/>
  <c r="R371" i="10"/>
  <c r="S371" i="10"/>
  <c r="H372" i="10"/>
  <c r="M372" i="10"/>
  <c r="R372" i="10"/>
  <c r="S372" i="10"/>
  <c r="H373" i="10"/>
  <c r="M373" i="10"/>
  <c r="R373" i="10"/>
  <c r="S373" i="10"/>
  <c r="D374" i="10"/>
  <c r="E374" i="10"/>
  <c r="F374" i="10"/>
  <c r="G374" i="10"/>
  <c r="H374" i="10"/>
  <c r="I374" i="10"/>
  <c r="J374" i="10"/>
  <c r="K374" i="10"/>
  <c r="L374" i="10"/>
  <c r="M374" i="10"/>
  <c r="N374" i="10"/>
  <c r="O374" i="10"/>
  <c r="P374" i="10"/>
  <c r="Q374" i="10"/>
  <c r="R374" i="10"/>
  <c r="S374" i="10"/>
  <c r="H375" i="10"/>
  <c r="M375" i="10"/>
  <c r="R375" i="10"/>
  <c r="S375" i="10"/>
  <c r="H376" i="10"/>
  <c r="M376" i="10"/>
  <c r="R376" i="10"/>
  <c r="S376" i="10"/>
  <c r="H377" i="10"/>
  <c r="M377" i="10"/>
  <c r="R377" i="10"/>
  <c r="S377" i="10"/>
  <c r="H378" i="10"/>
  <c r="M378" i="10"/>
  <c r="R378" i="10"/>
  <c r="S378" i="10"/>
  <c r="D379" i="10"/>
  <c r="E379" i="10"/>
  <c r="F379" i="10"/>
  <c r="G379" i="10"/>
  <c r="H379" i="10"/>
  <c r="I379" i="10"/>
  <c r="J379" i="10"/>
  <c r="K379" i="10"/>
  <c r="L379" i="10"/>
  <c r="M379" i="10"/>
  <c r="N379" i="10"/>
  <c r="O379" i="10"/>
  <c r="P379" i="10"/>
  <c r="Q379" i="10"/>
  <c r="R379" i="10"/>
  <c r="S379" i="10"/>
  <c r="H380" i="10"/>
  <c r="M380" i="10"/>
  <c r="R380" i="10"/>
  <c r="S380" i="10"/>
  <c r="H381" i="10"/>
  <c r="M381" i="10"/>
  <c r="R381" i="10"/>
  <c r="S381" i="10"/>
  <c r="H382" i="10"/>
  <c r="M382" i="10"/>
  <c r="R382" i="10"/>
  <c r="S382" i="10"/>
  <c r="H383" i="10"/>
  <c r="M383" i="10"/>
  <c r="R383" i="10"/>
  <c r="S383" i="10"/>
  <c r="D384" i="10"/>
  <c r="E384" i="10"/>
  <c r="F384" i="10"/>
  <c r="G384" i="10"/>
  <c r="H384" i="10"/>
  <c r="I384" i="10"/>
  <c r="J384" i="10"/>
  <c r="K384" i="10"/>
  <c r="L384" i="10"/>
  <c r="M384" i="10"/>
  <c r="N384" i="10"/>
  <c r="O384" i="10"/>
  <c r="P384" i="10"/>
  <c r="Q384" i="10"/>
  <c r="R384" i="10"/>
  <c r="S384" i="10"/>
  <c r="H385" i="10"/>
  <c r="M385" i="10"/>
  <c r="R385" i="10"/>
  <c r="S385" i="10"/>
  <c r="H386" i="10"/>
  <c r="M386" i="10"/>
  <c r="R386" i="10"/>
  <c r="S386" i="10"/>
  <c r="H387" i="10"/>
  <c r="M387" i="10"/>
  <c r="R387" i="10"/>
  <c r="S387" i="10"/>
  <c r="H388" i="10"/>
  <c r="M388" i="10"/>
  <c r="R388" i="10"/>
  <c r="S388" i="10"/>
  <c r="D389" i="10"/>
  <c r="E389" i="10"/>
  <c r="F389" i="10"/>
  <c r="G389" i="10"/>
  <c r="H389" i="10"/>
  <c r="I389" i="10"/>
  <c r="J389" i="10"/>
  <c r="K389" i="10"/>
  <c r="L389" i="10"/>
  <c r="M389" i="10"/>
  <c r="N389" i="10"/>
  <c r="O389" i="10"/>
  <c r="P389" i="10"/>
  <c r="Q389" i="10"/>
  <c r="R389" i="10"/>
  <c r="S389" i="10"/>
  <c r="H390" i="10"/>
  <c r="M390" i="10"/>
  <c r="R390" i="10"/>
  <c r="S390" i="10"/>
  <c r="H391" i="10"/>
  <c r="M391" i="10"/>
  <c r="R391" i="10"/>
  <c r="S391" i="10"/>
  <c r="H392" i="10"/>
  <c r="M392" i="10"/>
  <c r="R392" i="10"/>
  <c r="S392" i="10"/>
  <c r="H393" i="10"/>
  <c r="M393" i="10"/>
  <c r="R393" i="10"/>
  <c r="S393" i="10"/>
  <c r="D394" i="10"/>
  <c r="E394" i="10"/>
  <c r="F394" i="10"/>
  <c r="G394" i="10"/>
  <c r="H394" i="10"/>
  <c r="I394" i="10"/>
  <c r="J394" i="10"/>
  <c r="K394" i="10"/>
  <c r="L394" i="10"/>
  <c r="M394" i="10"/>
  <c r="N394" i="10"/>
  <c r="O394" i="10"/>
  <c r="P394" i="10"/>
  <c r="Q394" i="10"/>
  <c r="R394" i="10"/>
  <c r="S394" i="10"/>
  <c r="D395" i="10"/>
  <c r="E395" i="10"/>
  <c r="F395" i="10"/>
  <c r="G395" i="10"/>
  <c r="H395" i="10"/>
  <c r="I395" i="10"/>
  <c r="J395" i="10"/>
  <c r="K395" i="10"/>
  <c r="L395" i="10"/>
  <c r="M395" i="10"/>
  <c r="N395" i="10"/>
  <c r="O395" i="10"/>
  <c r="P395" i="10"/>
  <c r="Q395" i="10"/>
  <c r="R395" i="10"/>
  <c r="S395" i="10"/>
  <c r="H396" i="10"/>
  <c r="M396" i="10"/>
  <c r="R396" i="10"/>
  <c r="S396" i="10"/>
  <c r="H397" i="10"/>
  <c r="M397" i="10"/>
  <c r="R397" i="10"/>
  <c r="S397" i="10"/>
  <c r="H398" i="10"/>
  <c r="M398" i="10"/>
  <c r="R398" i="10"/>
  <c r="S398" i="10"/>
  <c r="H399" i="10"/>
  <c r="M399" i="10"/>
  <c r="R399" i="10"/>
  <c r="S399" i="10"/>
  <c r="D400" i="10"/>
  <c r="E400" i="10"/>
  <c r="F400" i="10"/>
  <c r="G400" i="10"/>
  <c r="H400" i="10"/>
  <c r="I400" i="10"/>
  <c r="J400" i="10"/>
  <c r="K400" i="10"/>
  <c r="L400" i="10"/>
  <c r="M400" i="10"/>
  <c r="N400" i="10"/>
  <c r="O400" i="10"/>
  <c r="P400" i="10"/>
  <c r="Q400" i="10"/>
  <c r="R400" i="10"/>
  <c r="S400" i="10"/>
  <c r="H401" i="10"/>
  <c r="M401" i="10"/>
  <c r="R401" i="10"/>
  <c r="S401" i="10"/>
  <c r="H402" i="10"/>
  <c r="M402" i="10"/>
  <c r="R402" i="10"/>
  <c r="S402" i="10"/>
  <c r="H403" i="10"/>
  <c r="M403" i="10"/>
  <c r="R403" i="10"/>
  <c r="S403" i="10"/>
  <c r="H404" i="10"/>
  <c r="M404" i="10"/>
  <c r="R404" i="10"/>
  <c r="S404" i="10"/>
  <c r="D405" i="10"/>
  <c r="E405" i="10"/>
  <c r="F405" i="10"/>
  <c r="G405" i="10"/>
  <c r="H405" i="10"/>
  <c r="I405" i="10"/>
  <c r="J405" i="10"/>
  <c r="K405" i="10"/>
  <c r="L405" i="10"/>
  <c r="M405" i="10"/>
  <c r="N405" i="10"/>
  <c r="O405" i="10"/>
  <c r="P405" i="10"/>
  <c r="Q405" i="10"/>
  <c r="R405" i="10"/>
  <c r="S405" i="10"/>
  <c r="H406" i="10"/>
  <c r="M406" i="10"/>
  <c r="R406" i="10"/>
  <c r="S406" i="10"/>
  <c r="H407" i="10"/>
  <c r="M407" i="10"/>
  <c r="R407" i="10"/>
  <c r="S407" i="10"/>
  <c r="H408" i="10"/>
  <c r="M408" i="10"/>
  <c r="R408" i="10"/>
  <c r="S408" i="10"/>
  <c r="H409" i="10"/>
  <c r="M409" i="10"/>
  <c r="R409" i="10"/>
  <c r="S409" i="10"/>
  <c r="D410" i="10"/>
  <c r="E410" i="10"/>
  <c r="F410" i="10"/>
  <c r="G410" i="10"/>
  <c r="H410" i="10"/>
  <c r="I410" i="10"/>
  <c r="J410" i="10"/>
  <c r="K410" i="10"/>
  <c r="L410" i="10"/>
  <c r="M410" i="10"/>
  <c r="N410" i="10"/>
  <c r="O410" i="10"/>
  <c r="P410" i="10"/>
  <c r="Q410" i="10"/>
  <c r="R410" i="10"/>
  <c r="S410" i="10"/>
  <c r="H411" i="10"/>
  <c r="M411" i="10"/>
  <c r="R411" i="10"/>
  <c r="S411" i="10"/>
  <c r="H412" i="10"/>
  <c r="M412" i="10"/>
  <c r="R412" i="10"/>
  <c r="S412" i="10"/>
  <c r="H413" i="10"/>
  <c r="M413" i="10"/>
  <c r="R413" i="10"/>
  <c r="S413" i="10"/>
  <c r="H414" i="10"/>
  <c r="M414" i="10"/>
  <c r="R414" i="10"/>
  <c r="S414" i="10"/>
  <c r="D415" i="10"/>
  <c r="E415" i="10"/>
  <c r="F415" i="10"/>
  <c r="G415" i="10"/>
  <c r="H415" i="10"/>
  <c r="I415" i="10"/>
  <c r="J415" i="10"/>
  <c r="K415" i="10"/>
  <c r="L415" i="10"/>
  <c r="M415" i="10"/>
  <c r="N415" i="10"/>
  <c r="O415" i="10"/>
  <c r="P415" i="10"/>
  <c r="Q415" i="10"/>
  <c r="R415" i="10"/>
  <c r="S415" i="10"/>
  <c r="D416" i="10"/>
  <c r="E416" i="10"/>
  <c r="F416" i="10"/>
  <c r="G416" i="10"/>
  <c r="H416" i="10"/>
  <c r="I416" i="10"/>
  <c r="J416" i="10"/>
  <c r="K416" i="10"/>
  <c r="L416" i="10"/>
  <c r="M416" i="10"/>
  <c r="N416" i="10"/>
  <c r="O416" i="10"/>
  <c r="P416" i="10"/>
  <c r="Q416" i="10"/>
  <c r="R416" i="10"/>
  <c r="S416" i="10"/>
  <c r="H417" i="10"/>
  <c r="M417" i="10"/>
  <c r="R417" i="10"/>
  <c r="S417" i="10"/>
  <c r="H418" i="10"/>
  <c r="M418" i="10"/>
  <c r="R418" i="10"/>
  <c r="S418" i="10"/>
  <c r="H419" i="10"/>
  <c r="M419" i="10"/>
  <c r="R419" i="10"/>
  <c r="S419" i="10"/>
  <c r="H420" i="10"/>
  <c r="M420" i="10"/>
  <c r="R420" i="10"/>
  <c r="S420" i="10"/>
  <c r="D421" i="10"/>
  <c r="E421" i="10"/>
  <c r="F421" i="10"/>
  <c r="G421" i="10"/>
  <c r="H421" i="10"/>
  <c r="I421" i="10"/>
  <c r="J421" i="10"/>
  <c r="K421" i="10"/>
  <c r="L421" i="10"/>
  <c r="M421" i="10"/>
  <c r="N421" i="10"/>
  <c r="O421" i="10"/>
  <c r="P421" i="10"/>
  <c r="Q421" i="10"/>
  <c r="R421" i="10"/>
  <c r="S421" i="10"/>
  <c r="H422" i="10"/>
  <c r="M422" i="10"/>
  <c r="R422" i="10"/>
  <c r="S422" i="10"/>
  <c r="H423" i="10"/>
  <c r="M423" i="10"/>
  <c r="R423" i="10"/>
  <c r="S423" i="10"/>
  <c r="H424" i="10"/>
  <c r="M424" i="10"/>
  <c r="R424" i="10"/>
  <c r="S424" i="10"/>
  <c r="H425" i="10"/>
  <c r="M425" i="10"/>
  <c r="R425" i="10"/>
  <c r="S425" i="10"/>
  <c r="D426" i="10"/>
  <c r="E426" i="10"/>
  <c r="F426" i="10"/>
  <c r="G426" i="10"/>
  <c r="H426" i="10"/>
  <c r="I426" i="10"/>
  <c r="J426" i="10"/>
  <c r="K426" i="10"/>
  <c r="L426" i="10"/>
  <c r="M426" i="10"/>
  <c r="N426" i="10"/>
  <c r="O426" i="10"/>
  <c r="P426" i="10"/>
  <c r="Q426" i="10"/>
  <c r="R426" i="10"/>
  <c r="S426" i="10"/>
  <c r="H427" i="10"/>
  <c r="M427" i="10"/>
  <c r="R427" i="10"/>
  <c r="S427" i="10"/>
  <c r="H428" i="10"/>
  <c r="M428" i="10"/>
  <c r="R428" i="10"/>
  <c r="S428" i="10"/>
  <c r="H429" i="10"/>
  <c r="M429" i="10"/>
  <c r="R429" i="10"/>
  <c r="S429" i="10"/>
  <c r="H430" i="10"/>
  <c r="M430" i="10"/>
  <c r="R430" i="10"/>
  <c r="S430" i="10"/>
  <c r="D431" i="10"/>
  <c r="E431" i="10"/>
  <c r="F431" i="10"/>
  <c r="G431" i="10"/>
  <c r="H431" i="10"/>
  <c r="I431" i="10"/>
  <c r="J431" i="10"/>
  <c r="K431" i="10"/>
  <c r="L431" i="10"/>
  <c r="M431" i="10"/>
  <c r="N431" i="10"/>
  <c r="O431" i="10"/>
  <c r="P431" i="10"/>
  <c r="Q431" i="10"/>
  <c r="R431" i="10"/>
  <c r="S431" i="10"/>
  <c r="H432" i="10"/>
  <c r="M432" i="10"/>
  <c r="R432" i="10"/>
  <c r="S432" i="10"/>
  <c r="H433" i="10"/>
  <c r="M433" i="10"/>
  <c r="R433" i="10"/>
  <c r="S433" i="10"/>
  <c r="H434" i="10"/>
  <c r="M434" i="10"/>
  <c r="R434" i="10"/>
  <c r="S434" i="10"/>
  <c r="H435" i="10"/>
  <c r="M435" i="10"/>
  <c r="R435" i="10"/>
  <c r="S435" i="10"/>
  <c r="D436" i="10"/>
  <c r="E436" i="10"/>
  <c r="F436" i="10"/>
  <c r="G436" i="10"/>
  <c r="H436" i="10"/>
  <c r="I436" i="10"/>
  <c r="J436" i="10"/>
  <c r="K436" i="10"/>
  <c r="L436" i="10"/>
  <c r="M436" i="10"/>
  <c r="N436" i="10"/>
  <c r="O436" i="10"/>
  <c r="P436" i="10"/>
  <c r="Q436" i="10"/>
  <c r="R436" i="10"/>
  <c r="S436" i="10"/>
  <c r="H437" i="10"/>
  <c r="M437" i="10"/>
  <c r="R437" i="10"/>
  <c r="S437" i="10"/>
  <c r="H438" i="10"/>
  <c r="M438" i="10"/>
  <c r="R438" i="10"/>
  <c r="S438" i="10"/>
  <c r="H439" i="10"/>
  <c r="M439" i="10"/>
  <c r="R439" i="10"/>
  <c r="S439" i="10"/>
  <c r="H440" i="10"/>
  <c r="M440" i="10"/>
  <c r="R440" i="10"/>
  <c r="S440" i="10"/>
  <c r="D441" i="10"/>
  <c r="E441" i="10"/>
  <c r="F441" i="10"/>
  <c r="G441" i="10"/>
  <c r="H441" i="10"/>
  <c r="I441" i="10"/>
  <c r="J441" i="10"/>
  <c r="K441" i="10"/>
  <c r="L441" i="10"/>
  <c r="M441" i="10"/>
  <c r="N441" i="10"/>
  <c r="O441" i="10"/>
  <c r="P441" i="10"/>
  <c r="Q441" i="10"/>
  <c r="R441" i="10"/>
  <c r="S441" i="10"/>
  <c r="H442" i="10"/>
  <c r="M442" i="10"/>
  <c r="R442" i="10"/>
  <c r="S442" i="10"/>
  <c r="H443" i="10"/>
  <c r="M443" i="10"/>
  <c r="R443" i="10"/>
  <c r="S443" i="10"/>
  <c r="H444" i="10"/>
  <c r="M444" i="10"/>
  <c r="R444" i="10"/>
  <c r="S444" i="10"/>
  <c r="H445" i="10"/>
  <c r="M445" i="10"/>
  <c r="R445" i="10"/>
  <c r="S445" i="10"/>
  <c r="D446" i="10"/>
  <c r="E446" i="10"/>
  <c r="F446" i="10"/>
  <c r="G446" i="10"/>
  <c r="H446" i="10"/>
  <c r="I446" i="10"/>
  <c r="J446" i="10"/>
  <c r="K446" i="10"/>
  <c r="L446" i="10"/>
  <c r="M446" i="10"/>
  <c r="N446" i="10"/>
  <c r="O446" i="10"/>
  <c r="P446" i="10"/>
  <c r="Q446" i="10"/>
  <c r="R446" i="10"/>
  <c r="S446" i="10"/>
  <c r="G5" i="9"/>
  <c r="K5" i="9"/>
  <c r="O5" i="9"/>
  <c r="S5" i="9"/>
  <c r="S9" i="9" s="1"/>
  <c r="W5" i="9"/>
  <c r="AA5" i="9"/>
  <c r="AE5" i="9"/>
  <c r="G6" i="9"/>
  <c r="K6" i="9"/>
  <c r="O6" i="9"/>
  <c r="S6" i="9"/>
  <c r="W6" i="9"/>
  <c r="W9" i="9" s="1"/>
  <c r="AA6" i="9"/>
  <c r="AE6" i="9"/>
  <c r="G7" i="9"/>
  <c r="K7" i="9"/>
  <c r="O7" i="9"/>
  <c r="S7" i="9"/>
  <c r="W7" i="9"/>
  <c r="AA7" i="9"/>
  <c r="AE7" i="9"/>
  <c r="G8" i="9"/>
  <c r="K8" i="9"/>
  <c r="O8" i="9"/>
  <c r="S8" i="9"/>
  <c r="W8" i="9"/>
  <c r="AA8" i="9"/>
  <c r="AE8" i="9"/>
  <c r="D9" i="9"/>
  <c r="E9" i="9"/>
  <c r="F9" i="9"/>
  <c r="G9" i="9"/>
  <c r="H9" i="9"/>
  <c r="I9" i="9"/>
  <c r="J9" i="9"/>
  <c r="L9" i="9"/>
  <c r="M9" i="9"/>
  <c r="N9" i="9"/>
  <c r="P9" i="9"/>
  <c r="Q9" i="9"/>
  <c r="R9" i="9"/>
  <c r="T9" i="9"/>
  <c r="U9" i="9"/>
  <c r="V9" i="9"/>
  <c r="X9" i="9"/>
  <c r="Y9" i="9"/>
  <c r="Z9" i="9"/>
  <c r="AB9" i="9"/>
  <c r="AC9" i="9"/>
  <c r="AD9" i="9"/>
  <c r="G10" i="9"/>
  <c r="K10" i="9"/>
  <c r="O10" i="9"/>
  <c r="O14" i="9" s="1"/>
  <c r="S10" i="9"/>
  <c r="S14" i="9" s="1"/>
  <c r="W10" i="9"/>
  <c r="AA10" i="9"/>
  <c r="AE10" i="9"/>
  <c r="G11" i="9"/>
  <c r="K11" i="9"/>
  <c r="O11" i="9"/>
  <c r="S11" i="9"/>
  <c r="W11" i="9"/>
  <c r="AA11" i="9"/>
  <c r="AE11" i="9"/>
  <c r="G12" i="9"/>
  <c r="K12" i="9"/>
  <c r="O12" i="9"/>
  <c r="S12" i="9"/>
  <c r="W12" i="9"/>
  <c r="AA12" i="9"/>
  <c r="AE12" i="9"/>
  <c r="G13" i="9"/>
  <c r="K13" i="9"/>
  <c r="O13" i="9"/>
  <c r="S13" i="9"/>
  <c r="W13" i="9"/>
  <c r="AA13" i="9"/>
  <c r="AE13" i="9"/>
  <c r="D14" i="9"/>
  <c r="E14" i="9"/>
  <c r="F14" i="9"/>
  <c r="H14" i="9"/>
  <c r="I14" i="9"/>
  <c r="J14" i="9"/>
  <c r="L14" i="9"/>
  <c r="M14" i="9"/>
  <c r="N14" i="9"/>
  <c r="P14" i="9"/>
  <c r="Q14" i="9"/>
  <c r="R14" i="9"/>
  <c r="T14" i="9"/>
  <c r="U14" i="9"/>
  <c r="V14" i="9"/>
  <c r="X14" i="9"/>
  <c r="Y14" i="9"/>
  <c r="Z14" i="9"/>
  <c r="AB14" i="9"/>
  <c r="AC14" i="9"/>
  <c r="AD14" i="9"/>
  <c r="AE14" i="9"/>
  <c r="G15" i="9"/>
  <c r="K15" i="9"/>
  <c r="O15" i="9"/>
  <c r="S15" i="9"/>
  <c r="S19" i="9" s="1"/>
  <c r="W15" i="9"/>
  <c r="AA15" i="9"/>
  <c r="AE15" i="9"/>
  <c r="G16" i="9"/>
  <c r="K16" i="9"/>
  <c r="O16" i="9"/>
  <c r="S16" i="9"/>
  <c r="W16" i="9"/>
  <c r="AA16" i="9"/>
  <c r="AE16" i="9"/>
  <c r="G17" i="9"/>
  <c r="K17" i="9"/>
  <c r="K19" i="9" s="1"/>
  <c r="O17" i="9"/>
  <c r="S17" i="9"/>
  <c r="W17" i="9"/>
  <c r="AA17" i="9"/>
  <c r="AA19" i="9" s="1"/>
  <c r="AE17" i="9"/>
  <c r="G18" i="9"/>
  <c r="K18" i="9"/>
  <c r="O18" i="9"/>
  <c r="O19" i="9" s="1"/>
  <c r="S18" i="9"/>
  <c r="W18" i="9"/>
  <c r="AA18" i="9"/>
  <c r="AE18" i="9"/>
  <c r="D19" i="9"/>
  <c r="E19" i="9"/>
  <c r="F19" i="9"/>
  <c r="H19" i="9"/>
  <c r="I19" i="9"/>
  <c r="J19" i="9"/>
  <c r="L19" i="9"/>
  <c r="M19" i="9"/>
  <c r="N19" i="9"/>
  <c r="P19" i="9"/>
  <c r="Q19" i="9"/>
  <c r="R19" i="9"/>
  <c r="T19" i="9"/>
  <c r="U19" i="9"/>
  <c r="V19" i="9"/>
  <c r="X19" i="9"/>
  <c r="Y19" i="9"/>
  <c r="Z19" i="9"/>
  <c r="AB19" i="9"/>
  <c r="AC19" i="9"/>
  <c r="AD19" i="9"/>
  <c r="G20" i="9"/>
  <c r="K20" i="9"/>
  <c r="O20" i="9"/>
  <c r="S20" i="9"/>
  <c r="W20" i="9"/>
  <c r="W24" i="9" s="1"/>
  <c r="AA20" i="9"/>
  <c r="AE20" i="9"/>
  <c r="G21" i="9"/>
  <c r="AF21" i="9" s="1"/>
  <c r="K21" i="9"/>
  <c r="O21" i="9"/>
  <c r="S21" i="9"/>
  <c r="W21" i="9"/>
  <c r="AA21" i="9"/>
  <c r="AE21" i="9"/>
  <c r="G22" i="9"/>
  <c r="AF22" i="9" s="1"/>
  <c r="K22" i="9"/>
  <c r="O22" i="9"/>
  <c r="S22" i="9"/>
  <c r="W22" i="9"/>
  <c r="AA22" i="9"/>
  <c r="AE22" i="9"/>
  <c r="G23" i="9"/>
  <c r="K23" i="9"/>
  <c r="O23" i="9"/>
  <c r="S23" i="9"/>
  <c r="W23" i="9"/>
  <c r="AA23" i="9"/>
  <c r="AE23" i="9"/>
  <c r="D24" i="9"/>
  <c r="E24" i="9"/>
  <c r="F24" i="9"/>
  <c r="H24" i="9"/>
  <c r="I24" i="9"/>
  <c r="J24" i="9"/>
  <c r="L24" i="9"/>
  <c r="M24" i="9"/>
  <c r="N24" i="9"/>
  <c r="O24" i="9"/>
  <c r="P24" i="9"/>
  <c r="Q24" i="9"/>
  <c r="R24" i="9"/>
  <c r="S24" i="9"/>
  <c r="T24" i="9"/>
  <c r="U24" i="9"/>
  <c r="V24" i="9"/>
  <c r="X24" i="9"/>
  <c r="Y24" i="9"/>
  <c r="Z24" i="9"/>
  <c r="AB24" i="9"/>
  <c r="AC24" i="9"/>
  <c r="AD24" i="9"/>
  <c r="AE24" i="9"/>
  <c r="G25" i="9"/>
  <c r="K25" i="9"/>
  <c r="O25" i="9"/>
  <c r="S25" i="9"/>
  <c r="W25" i="9"/>
  <c r="AA25" i="9"/>
  <c r="AE25" i="9"/>
  <c r="G26" i="9"/>
  <c r="K26" i="9"/>
  <c r="O26" i="9"/>
  <c r="S26" i="9"/>
  <c r="W26" i="9"/>
  <c r="AA26" i="9"/>
  <c r="AE26" i="9"/>
  <c r="G27" i="9"/>
  <c r="K27" i="9"/>
  <c r="O27" i="9"/>
  <c r="S27" i="9"/>
  <c r="S29" i="9" s="1"/>
  <c r="W27" i="9"/>
  <c r="AA27" i="9"/>
  <c r="AE27" i="9"/>
  <c r="G28" i="9"/>
  <c r="K28" i="9"/>
  <c r="O28" i="9"/>
  <c r="S28" i="9"/>
  <c r="W28" i="9"/>
  <c r="W29" i="9" s="1"/>
  <c r="AA28" i="9"/>
  <c r="AE28" i="9"/>
  <c r="D29" i="9"/>
  <c r="E29" i="9"/>
  <c r="F29" i="9"/>
  <c r="H29" i="9"/>
  <c r="I29" i="9"/>
  <c r="J29" i="9"/>
  <c r="L29" i="9"/>
  <c r="M29" i="9"/>
  <c r="N29" i="9"/>
  <c r="P29" i="9"/>
  <c r="Q29" i="9"/>
  <c r="R29" i="9"/>
  <c r="T29" i="9"/>
  <c r="U29" i="9"/>
  <c r="V29" i="9"/>
  <c r="X29" i="9"/>
  <c r="Y29" i="9"/>
  <c r="Z29" i="9"/>
  <c r="AB29" i="9"/>
  <c r="AC29" i="9"/>
  <c r="AD29" i="9"/>
  <c r="G30" i="9"/>
  <c r="K30" i="9"/>
  <c r="O30" i="9"/>
  <c r="S30" i="9"/>
  <c r="W30" i="9"/>
  <c r="AA30" i="9"/>
  <c r="AE30" i="9"/>
  <c r="G31" i="9"/>
  <c r="K31" i="9"/>
  <c r="O31" i="9"/>
  <c r="S31" i="9"/>
  <c r="W31" i="9"/>
  <c r="AA31" i="9"/>
  <c r="AE31" i="9"/>
  <c r="AE34" i="9" s="1"/>
  <c r="G32" i="9"/>
  <c r="K32" i="9"/>
  <c r="O32" i="9"/>
  <c r="S32" i="9"/>
  <c r="W32" i="9"/>
  <c r="AA32" i="9"/>
  <c r="AE32" i="9"/>
  <c r="G33" i="9"/>
  <c r="K33" i="9"/>
  <c r="O33" i="9"/>
  <c r="S33" i="9"/>
  <c r="W33" i="9"/>
  <c r="AA33" i="9"/>
  <c r="AE33" i="9"/>
  <c r="D34" i="9"/>
  <c r="E34" i="9"/>
  <c r="F34" i="9"/>
  <c r="H34" i="9"/>
  <c r="I34" i="9"/>
  <c r="J34" i="9"/>
  <c r="L34" i="9"/>
  <c r="M34" i="9"/>
  <c r="N34" i="9"/>
  <c r="O34" i="9"/>
  <c r="P34" i="9"/>
  <c r="Q34" i="9"/>
  <c r="R34" i="9"/>
  <c r="S34" i="9"/>
  <c r="T34" i="9"/>
  <c r="U34" i="9"/>
  <c r="V34" i="9"/>
  <c r="X34" i="9"/>
  <c r="Y34" i="9"/>
  <c r="Z34" i="9"/>
  <c r="AB34" i="9"/>
  <c r="AC34" i="9"/>
  <c r="AC40" i="9" s="1"/>
  <c r="AD34" i="9"/>
  <c r="G35" i="9"/>
  <c r="K35" i="9"/>
  <c r="K39" i="9" s="1"/>
  <c r="O35" i="9"/>
  <c r="S35" i="9"/>
  <c r="W35" i="9"/>
  <c r="AA35" i="9"/>
  <c r="AA39" i="9" s="1"/>
  <c r="AE35" i="9"/>
  <c r="G36" i="9"/>
  <c r="K36" i="9"/>
  <c r="O36" i="9"/>
  <c r="O39" i="9" s="1"/>
  <c r="S36" i="9"/>
  <c r="W36" i="9"/>
  <c r="AA36" i="9"/>
  <c r="AE36" i="9"/>
  <c r="AE39" i="9" s="1"/>
  <c r="AE40" i="9" s="1"/>
  <c r="G37" i="9"/>
  <c r="K37" i="9"/>
  <c r="O37" i="9"/>
  <c r="S37" i="9"/>
  <c r="S39" i="9" s="1"/>
  <c r="S40" i="9" s="1"/>
  <c r="W37" i="9"/>
  <c r="AA37" i="9"/>
  <c r="AE37" i="9"/>
  <c r="G38" i="9"/>
  <c r="K38" i="9"/>
  <c r="O38" i="9"/>
  <c r="S38" i="9"/>
  <c r="W38" i="9"/>
  <c r="AA38" i="9"/>
  <c r="AE38" i="9"/>
  <c r="D39" i="9"/>
  <c r="D40" i="9" s="1"/>
  <c r="E39" i="9"/>
  <c r="F39" i="9"/>
  <c r="H39" i="9"/>
  <c r="I39" i="9"/>
  <c r="J39" i="9"/>
  <c r="J40" i="9" s="1"/>
  <c r="L39" i="9"/>
  <c r="M39" i="9"/>
  <c r="N39" i="9"/>
  <c r="N40" i="9" s="1"/>
  <c r="P39" i="9"/>
  <c r="Q39" i="9"/>
  <c r="R39" i="9"/>
  <c r="R40" i="9" s="1"/>
  <c r="T39" i="9"/>
  <c r="U39" i="9"/>
  <c r="V39" i="9"/>
  <c r="V40" i="9" s="1"/>
  <c r="X39" i="9"/>
  <c r="Y39" i="9"/>
  <c r="Z39" i="9"/>
  <c r="AB39" i="9"/>
  <c r="AC39" i="9"/>
  <c r="AD39" i="9"/>
  <c r="AD40" i="9" s="1"/>
  <c r="F40" i="9"/>
  <c r="O40" i="9"/>
  <c r="Z40" i="9"/>
  <c r="G41" i="9"/>
  <c r="G45" i="9" s="1"/>
  <c r="K41" i="9"/>
  <c r="O41" i="9"/>
  <c r="S41" i="9"/>
  <c r="W41" i="9"/>
  <c r="AA41" i="9"/>
  <c r="AE41" i="9"/>
  <c r="G42" i="9"/>
  <c r="K42" i="9"/>
  <c r="O42" i="9"/>
  <c r="S42" i="9"/>
  <c r="W42" i="9"/>
  <c r="AA42" i="9"/>
  <c r="AE42" i="9"/>
  <c r="G43" i="9"/>
  <c r="K43" i="9"/>
  <c r="O43" i="9"/>
  <c r="S43" i="9"/>
  <c r="W43" i="9"/>
  <c r="AA43" i="9"/>
  <c r="AE43" i="9"/>
  <c r="G44" i="9"/>
  <c r="K44" i="9"/>
  <c r="O44" i="9"/>
  <c r="S44" i="9"/>
  <c r="W44" i="9"/>
  <c r="AA44" i="9"/>
  <c r="AE44" i="9"/>
  <c r="D45" i="9"/>
  <c r="E45" i="9"/>
  <c r="F45" i="9"/>
  <c r="H45" i="9"/>
  <c r="I45" i="9"/>
  <c r="J45" i="9"/>
  <c r="L45" i="9"/>
  <c r="M45" i="9"/>
  <c r="N45" i="9"/>
  <c r="N51" i="9" s="1"/>
  <c r="P45" i="9"/>
  <c r="Q45" i="9"/>
  <c r="R45" i="9"/>
  <c r="S45" i="9"/>
  <c r="T45" i="9"/>
  <c r="U45" i="9"/>
  <c r="V45" i="9"/>
  <c r="W45" i="9"/>
  <c r="X45" i="9"/>
  <c r="Y45" i="9"/>
  <c r="Z45" i="9"/>
  <c r="Z51" i="9" s="1"/>
  <c r="AB45" i="9"/>
  <c r="AB51" i="9" s="1"/>
  <c r="AC45" i="9"/>
  <c r="AD45" i="9"/>
  <c r="G46" i="9"/>
  <c r="K46" i="9"/>
  <c r="O46" i="9"/>
  <c r="S46" i="9"/>
  <c r="W46" i="9"/>
  <c r="AA46" i="9"/>
  <c r="AE46" i="9"/>
  <c r="G47" i="9"/>
  <c r="K47" i="9"/>
  <c r="O47" i="9"/>
  <c r="S47" i="9"/>
  <c r="W47" i="9"/>
  <c r="AA47" i="9"/>
  <c r="AE47" i="9"/>
  <c r="AE50" i="9" s="1"/>
  <c r="G48" i="9"/>
  <c r="K48" i="9"/>
  <c r="O48" i="9"/>
  <c r="S48" i="9"/>
  <c r="W48" i="9"/>
  <c r="AA48" i="9"/>
  <c r="AE48" i="9"/>
  <c r="G49" i="9"/>
  <c r="K49" i="9"/>
  <c r="O49" i="9"/>
  <c r="S49" i="9"/>
  <c r="W49" i="9"/>
  <c r="AA49" i="9"/>
  <c r="AE49" i="9"/>
  <c r="D50" i="9"/>
  <c r="E50" i="9"/>
  <c r="E51" i="9" s="1"/>
  <c r="F50" i="9"/>
  <c r="H50" i="9"/>
  <c r="I50" i="9"/>
  <c r="J50" i="9"/>
  <c r="L50" i="9"/>
  <c r="L51" i="9" s="1"/>
  <c r="M50" i="9"/>
  <c r="N50" i="9"/>
  <c r="O50" i="9"/>
  <c r="P50" i="9"/>
  <c r="Q50" i="9"/>
  <c r="Q51" i="9" s="1"/>
  <c r="R50" i="9"/>
  <c r="S50" i="9"/>
  <c r="S51" i="9" s="1"/>
  <c r="T50" i="9"/>
  <c r="T51" i="9" s="1"/>
  <c r="U50" i="9"/>
  <c r="U51" i="9" s="1"/>
  <c r="V50" i="9"/>
  <c r="X50" i="9"/>
  <c r="X51" i="9" s="1"/>
  <c r="Y50" i="9"/>
  <c r="Z50" i="9"/>
  <c r="AB50" i="9"/>
  <c r="AC50" i="9"/>
  <c r="AD50" i="9"/>
  <c r="D51" i="9"/>
  <c r="P51" i="9"/>
  <c r="G52" i="9"/>
  <c r="G56" i="9" s="1"/>
  <c r="K52" i="9"/>
  <c r="O52" i="9"/>
  <c r="S52" i="9"/>
  <c r="S56" i="9" s="1"/>
  <c r="W52" i="9"/>
  <c r="W56" i="9" s="1"/>
  <c r="AA52" i="9"/>
  <c r="AE52" i="9"/>
  <c r="G53" i="9"/>
  <c r="K53" i="9"/>
  <c r="K56" i="9" s="1"/>
  <c r="O53" i="9"/>
  <c r="S53" i="9"/>
  <c r="W53" i="9"/>
  <c r="AA53" i="9"/>
  <c r="AA56" i="9" s="1"/>
  <c r="AE53" i="9"/>
  <c r="G54" i="9"/>
  <c r="K54" i="9"/>
  <c r="O54" i="9"/>
  <c r="S54" i="9"/>
  <c r="W54" i="9"/>
  <c r="AA54" i="9"/>
  <c r="AE54" i="9"/>
  <c r="G55" i="9"/>
  <c r="K55" i="9"/>
  <c r="O55" i="9"/>
  <c r="S55" i="9"/>
  <c r="W55" i="9"/>
  <c r="AA55" i="9"/>
  <c r="AE55" i="9"/>
  <c r="D56" i="9"/>
  <c r="E56" i="9"/>
  <c r="F56" i="9"/>
  <c r="H56" i="9"/>
  <c r="I56" i="9"/>
  <c r="J56" i="9"/>
  <c r="L56" i="9"/>
  <c r="M56" i="9"/>
  <c r="N56" i="9"/>
  <c r="P56" i="9"/>
  <c r="Q56" i="9"/>
  <c r="R56" i="9"/>
  <c r="T56" i="9"/>
  <c r="U56" i="9"/>
  <c r="V56" i="9"/>
  <c r="X56" i="9"/>
  <c r="Y56" i="9"/>
  <c r="Z56" i="9"/>
  <c r="AB56" i="9"/>
  <c r="AC56" i="9"/>
  <c r="AD56" i="9"/>
  <c r="G57" i="9"/>
  <c r="K57" i="9"/>
  <c r="O57" i="9"/>
  <c r="O61" i="9" s="1"/>
  <c r="S57" i="9"/>
  <c r="W57" i="9"/>
  <c r="AA57" i="9"/>
  <c r="AE57" i="9"/>
  <c r="AE61" i="9" s="1"/>
  <c r="G58" i="9"/>
  <c r="K58" i="9"/>
  <c r="O58" i="9"/>
  <c r="S58" i="9"/>
  <c r="S61" i="9" s="1"/>
  <c r="W58" i="9"/>
  <c r="AA58" i="9"/>
  <c r="AE58" i="9"/>
  <c r="G59" i="9"/>
  <c r="G61" i="9" s="1"/>
  <c r="K59" i="9"/>
  <c r="O59" i="9"/>
  <c r="S59" i="9"/>
  <c r="W59" i="9"/>
  <c r="W61" i="9" s="1"/>
  <c r="AA59" i="9"/>
  <c r="AE59" i="9"/>
  <c r="G60" i="9"/>
  <c r="K60" i="9"/>
  <c r="O60" i="9"/>
  <c r="S60" i="9"/>
  <c r="W60" i="9"/>
  <c r="AA60" i="9"/>
  <c r="AE60" i="9"/>
  <c r="D61" i="9"/>
  <c r="E61" i="9"/>
  <c r="F61" i="9"/>
  <c r="H61" i="9"/>
  <c r="I61" i="9"/>
  <c r="J61" i="9"/>
  <c r="L61" i="9"/>
  <c r="M61" i="9"/>
  <c r="N61" i="9"/>
  <c r="P61" i="9"/>
  <c r="Q61" i="9"/>
  <c r="R61" i="9"/>
  <c r="T61" i="9"/>
  <c r="U61" i="9"/>
  <c r="V61" i="9"/>
  <c r="X61" i="9"/>
  <c r="Y61" i="9"/>
  <c r="Z61" i="9"/>
  <c r="AB61" i="9"/>
  <c r="AC61" i="9"/>
  <c r="AD61" i="9"/>
  <c r="G62" i="9"/>
  <c r="K62" i="9"/>
  <c r="O62" i="9"/>
  <c r="O66" i="9" s="1"/>
  <c r="S62" i="9"/>
  <c r="W62" i="9"/>
  <c r="AA62" i="9"/>
  <c r="AE62" i="9"/>
  <c r="AE66" i="9" s="1"/>
  <c r="G63" i="9"/>
  <c r="K63" i="9"/>
  <c r="O63" i="9"/>
  <c r="S63" i="9"/>
  <c r="S66" i="9" s="1"/>
  <c r="W63" i="9"/>
  <c r="AA63" i="9"/>
  <c r="AE63" i="9"/>
  <c r="G64" i="9"/>
  <c r="K64" i="9"/>
  <c r="O64" i="9"/>
  <c r="S64" i="9"/>
  <c r="W64" i="9"/>
  <c r="AA64" i="9"/>
  <c r="AE64" i="9"/>
  <c r="G65" i="9"/>
  <c r="K65" i="9"/>
  <c r="O65" i="9"/>
  <c r="S65" i="9"/>
  <c r="W65" i="9"/>
  <c r="AA65" i="9"/>
  <c r="AE65" i="9"/>
  <c r="D66" i="9"/>
  <c r="E66" i="9"/>
  <c r="F66" i="9"/>
  <c r="H66" i="9"/>
  <c r="I66" i="9"/>
  <c r="J66" i="9"/>
  <c r="L66" i="9"/>
  <c r="M66" i="9"/>
  <c r="N66" i="9"/>
  <c r="P66" i="9"/>
  <c r="Q66" i="9"/>
  <c r="R66" i="9"/>
  <c r="T66" i="9"/>
  <c r="U66" i="9"/>
  <c r="V66" i="9"/>
  <c r="X66" i="9"/>
  <c r="Y66" i="9"/>
  <c r="Z66" i="9"/>
  <c r="AB66" i="9"/>
  <c r="AC66" i="9"/>
  <c r="AD66" i="9"/>
  <c r="G67" i="9"/>
  <c r="K67" i="9"/>
  <c r="O67" i="9"/>
  <c r="S67" i="9"/>
  <c r="W67" i="9"/>
  <c r="AA67" i="9"/>
  <c r="AE67" i="9"/>
  <c r="AE71" i="9" s="1"/>
  <c r="G68" i="9"/>
  <c r="K68" i="9"/>
  <c r="O68" i="9"/>
  <c r="S68" i="9"/>
  <c r="W68" i="9"/>
  <c r="AA68" i="9"/>
  <c r="AE68" i="9"/>
  <c r="G69" i="9"/>
  <c r="K69" i="9"/>
  <c r="O69" i="9"/>
  <c r="S69" i="9"/>
  <c r="W69" i="9"/>
  <c r="AA69" i="9"/>
  <c r="AE69" i="9"/>
  <c r="G70" i="9"/>
  <c r="K70" i="9"/>
  <c r="O70" i="9"/>
  <c r="S70" i="9"/>
  <c r="W70" i="9"/>
  <c r="AA70" i="9"/>
  <c r="AA71" i="9" s="1"/>
  <c r="AE70" i="9"/>
  <c r="D71" i="9"/>
  <c r="E71" i="9"/>
  <c r="F71" i="9"/>
  <c r="H71" i="9"/>
  <c r="I71" i="9"/>
  <c r="J71" i="9"/>
  <c r="K71" i="9"/>
  <c r="L71" i="9"/>
  <c r="M71" i="9"/>
  <c r="N71" i="9"/>
  <c r="O71" i="9"/>
  <c r="P71" i="9"/>
  <c r="Q71" i="9"/>
  <c r="R71" i="9"/>
  <c r="S71" i="9"/>
  <c r="T71" i="9"/>
  <c r="U71" i="9"/>
  <c r="V71" i="9"/>
  <c r="X71" i="9"/>
  <c r="Y71" i="9"/>
  <c r="Z71" i="9"/>
  <c r="AB71" i="9"/>
  <c r="AC71" i="9"/>
  <c r="AD71" i="9"/>
  <c r="G72" i="9"/>
  <c r="K72" i="9"/>
  <c r="O72" i="9"/>
  <c r="S72" i="9"/>
  <c r="W72" i="9"/>
  <c r="AA72" i="9"/>
  <c r="AE72" i="9"/>
  <c r="G73" i="9"/>
  <c r="K73" i="9"/>
  <c r="O73" i="9"/>
  <c r="S73" i="9"/>
  <c r="W73" i="9"/>
  <c r="AA73" i="9"/>
  <c r="AE73" i="9"/>
  <c r="G74" i="9"/>
  <c r="K74" i="9"/>
  <c r="O74" i="9"/>
  <c r="S74" i="9"/>
  <c r="W74" i="9"/>
  <c r="AA74" i="9"/>
  <c r="AE74" i="9"/>
  <c r="G75" i="9"/>
  <c r="K75" i="9"/>
  <c r="O75" i="9"/>
  <c r="S75" i="9"/>
  <c r="W75" i="9"/>
  <c r="AA75" i="9"/>
  <c r="AE75" i="9"/>
  <c r="D76" i="9"/>
  <c r="E76" i="9"/>
  <c r="F76" i="9"/>
  <c r="H76" i="9"/>
  <c r="I76" i="9"/>
  <c r="J76" i="9"/>
  <c r="K76" i="9"/>
  <c r="L76" i="9"/>
  <c r="M76" i="9"/>
  <c r="N76" i="9"/>
  <c r="O76" i="9"/>
  <c r="P76" i="9"/>
  <c r="Q76" i="9"/>
  <c r="R76" i="9"/>
  <c r="S76" i="9"/>
  <c r="T76" i="9"/>
  <c r="U76" i="9"/>
  <c r="V76" i="9"/>
  <c r="X76" i="9"/>
  <c r="Y76" i="9"/>
  <c r="Z76" i="9"/>
  <c r="AA76" i="9"/>
  <c r="AB76" i="9"/>
  <c r="AC76" i="9"/>
  <c r="AD76" i="9"/>
  <c r="AE76" i="9"/>
  <c r="G77" i="9"/>
  <c r="G81" i="9" s="1"/>
  <c r="K77" i="9"/>
  <c r="O77" i="9"/>
  <c r="S77" i="9"/>
  <c r="S81" i="9" s="1"/>
  <c r="W77" i="9"/>
  <c r="W81" i="9" s="1"/>
  <c r="AA77" i="9"/>
  <c r="AE77" i="9"/>
  <c r="G78" i="9"/>
  <c r="K78" i="9"/>
  <c r="O78" i="9"/>
  <c r="S78" i="9"/>
  <c r="W78" i="9"/>
  <c r="AA78" i="9"/>
  <c r="AE78" i="9"/>
  <c r="G79" i="9"/>
  <c r="K79" i="9"/>
  <c r="O79" i="9"/>
  <c r="S79" i="9"/>
  <c r="W79" i="9"/>
  <c r="AA79" i="9"/>
  <c r="AE79" i="9"/>
  <c r="G80" i="9"/>
  <c r="K80" i="9"/>
  <c r="O80" i="9"/>
  <c r="S80" i="9"/>
  <c r="W80" i="9"/>
  <c r="AA80" i="9"/>
  <c r="AE80" i="9"/>
  <c r="D81" i="9"/>
  <c r="E81" i="9"/>
  <c r="F81" i="9"/>
  <c r="H81" i="9"/>
  <c r="I81" i="9"/>
  <c r="J81" i="9"/>
  <c r="L81" i="9"/>
  <c r="M81" i="9"/>
  <c r="N81" i="9"/>
  <c r="P81" i="9"/>
  <c r="Q81" i="9"/>
  <c r="R81" i="9"/>
  <c r="T81" i="9"/>
  <c r="U81" i="9"/>
  <c r="V81" i="9"/>
  <c r="X81" i="9"/>
  <c r="Y81" i="9"/>
  <c r="Z81" i="9"/>
  <c r="AB81" i="9"/>
  <c r="AC81" i="9"/>
  <c r="AD81" i="9"/>
  <c r="G82" i="9"/>
  <c r="K82" i="9"/>
  <c r="O82" i="9"/>
  <c r="S82" i="9"/>
  <c r="W82" i="9"/>
  <c r="W86" i="9" s="1"/>
  <c r="AA82" i="9"/>
  <c r="AE82" i="9"/>
  <c r="G83" i="9"/>
  <c r="K83" i="9"/>
  <c r="O83" i="9"/>
  <c r="S83" i="9"/>
  <c r="W83" i="9"/>
  <c r="AA83" i="9"/>
  <c r="AE83" i="9"/>
  <c r="G84" i="9"/>
  <c r="K84" i="9"/>
  <c r="O84" i="9"/>
  <c r="O86" i="9" s="1"/>
  <c r="S84" i="9"/>
  <c r="W84" i="9"/>
  <c r="AA84" i="9"/>
  <c r="AE84" i="9"/>
  <c r="AE86" i="9" s="1"/>
  <c r="G85" i="9"/>
  <c r="K85" i="9"/>
  <c r="O85" i="9"/>
  <c r="S85" i="9"/>
  <c r="W85" i="9"/>
  <c r="AA85" i="9"/>
  <c r="AE85" i="9"/>
  <c r="D86" i="9"/>
  <c r="E86" i="9"/>
  <c r="F86" i="9"/>
  <c r="H86" i="9"/>
  <c r="I86" i="9"/>
  <c r="J86" i="9"/>
  <c r="L86" i="9"/>
  <c r="M86" i="9"/>
  <c r="N86" i="9"/>
  <c r="P86" i="9"/>
  <c r="Q86" i="9"/>
  <c r="R86" i="9"/>
  <c r="T86" i="9"/>
  <c r="U86" i="9"/>
  <c r="V86" i="9"/>
  <c r="X86" i="9"/>
  <c r="Y86" i="9"/>
  <c r="Z86" i="9"/>
  <c r="AB86" i="9"/>
  <c r="AC86" i="9"/>
  <c r="AD86" i="9"/>
  <c r="G87" i="9"/>
  <c r="K87" i="9"/>
  <c r="O87" i="9"/>
  <c r="S87" i="9"/>
  <c r="W87" i="9"/>
  <c r="AA87" i="9"/>
  <c r="AE87" i="9"/>
  <c r="G88" i="9"/>
  <c r="K88" i="9"/>
  <c r="O88" i="9"/>
  <c r="S88" i="9"/>
  <c r="W88" i="9"/>
  <c r="AA88" i="9"/>
  <c r="AE88" i="9"/>
  <c r="G89" i="9"/>
  <c r="K89" i="9"/>
  <c r="O89" i="9"/>
  <c r="S89" i="9"/>
  <c r="W89" i="9"/>
  <c r="AA89" i="9"/>
  <c r="AE89" i="9"/>
  <c r="G90" i="9"/>
  <c r="K90" i="9"/>
  <c r="O90" i="9"/>
  <c r="S90" i="9"/>
  <c r="W90" i="9"/>
  <c r="AA90" i="9"/>
  <c r="AE90" i="9"/>
  <c r="D91" i="9"/>
  <c r="E91" i="9"/>
  <c r="F91" i="9"/>
  <c r="H91" i="9"/>
  <c r="I91" i="9"/>
  <c r="J91" i="9"/>
  <c r="K91" i="9"/>
  <c r="L91" i="9"/>
  <c r="M91" i="9"/>
  <c r="N91" i="9"/>
  <c r="O91" i="9"/>
  <c r="P91" i="9"/>
  <c r="Q91" i="9"/>
  <c r="R91" i="9"/>
  <c r="S91" i="9"/>
  <c r="T91" i="9"/>
  <c r="U91" i="9"/>
  <c r="V91" i="9"/>
  <c r="X91" i="9"/>
  <c r="Y91" i="9"/>
  <c r="Z91" i="9"/>
  <c r="AA91" i="9"/>
  <c r="AB91" i="9"/>
  <c r="AC91" i="9"/>
  <c r="AD91" i="9"/>
  <c r="AE91" i="9"/>
  <c r="G92" i="9"/>
  <c r="G96" i="9" s="1"/>
  <c r="K92" i="9"/>
  <c r="O92" i="9"/>
  <c r="S92" i="9"/>
  <c r="W92" i="9"/>
  <c r="W96" i="9" s="1"/>
  <c r="AA92" i="9"/>
  <c r="AE92" i="9"/>
  <c r="G93" i="9"/>
  <c r="K93" i="9"/>
  <c r="O93" i="9"/>
  <c r="S93" i="9"/>
  <c r="W93" i="9"/>
  <c r="AA93" i="9"/>
  <c r="AA96" i="9" s="1"/>
  <c r="AE93" i="9"/>
  <c r="G94" i="9"/>
  <c r="K94" i="9"/>
  <c r="O94" i="9"/>
  <c r="S94" i="9"/>
  <c r="W94" i="9"/>
  <c r="AA94" i="9"/>
  <c r="AE94" i="9"/>
  <c r="G95" i="9"/>
  <c r="K95" i="9"/>
  <c r="O95" i="9"/>
  <c r="S95" i="9"/>
  <c r="W95" i="9"/>
  <c r="AA95" i="9"/>
  <c r="AE95" i="9"/>
  <c r="D96" i="9"/>
  <c r="E96" i="9"/>
  <c r="F96" i="9"/>
  <c r="H96" i="9"/>
  <c r="I96" i="9"/>
  <c r="J96" i="9"/>
  <c r="K96" i="9"/>
  <c r="L96" i="9"/>
  <c r="M96" i="9"/>
  <c r="N96" i="9"/>
  <c r="P96" i="9"/>
  <c r="Q96" i="9"/>
  <c r="R96" i="9"/>
  <c r="T96" i="9"/>
  <c r="U96" i="9"/>
  <c r="V96" i="9"/>
  <c r="X96" i="9"/>
  <c r="Y96" i="9"/>
  <c r="Z96" i="9"/>
  <c r="AB96" i="9"/>
  <c r="AC96" i="9"/>
  <c r="AD96" i="9"/>
  <c r="G97" i="9"/>
  <c r="K97" i="9"/>
  <c r="O97" i="9"/>
  <c r="O101" i="9" s="1"/>
  <c r="S97" i="9"/>
  <c r="W97" i="9"/>
  <c r="AA97" i="9"/>
  <c r="AE97" i="9"/>
  <c r="AE101" i="9" s="1"/>
  <c r="G98" i="9"/>
  <c r="K98" i="9"/>
  <c r="O98" i="9"/>
  <c r="S98" i="9"/>
  <c r="W98" i="9"/>
  <c r="AA98" i="9"/>
  <c r="AE98" i="9"/>
  <c r="G99" i="9"/>
  <c r="G101" i="9" s="1"/>
  <c r="K99" i="9"/>
  <c r="O99" i="9"/>
  <c r="S99" i="9"/>
  <c r="W99" i="9"/>
  <c r="AA99" i="9"/>
  <c r="AE99" i="9"/>
  <c r="G100" i="9"/>
  <c r="K100" i="9"/>
  <c r="O100" i="9"/>
  <c r="S100" i="9"/>
  <c r="W100" i="9"/>
  <c r="AA100" i="9"/>
  <c r="AE100" i="9"/>
  <c r="D101" i="9"/>
  <c r="E101" i="9"/>
  <c r="F101" i="9"/>
  <c r="H101" i="9"/>
  <c r="I101" i="9"/>
  <c r="J101" i="9"/>
  <c r="L101" i="9"/>
  <c r="M101" i="9"/>
  <c r="N101" i="9"/>
  <c r="N107" i="9" s="1"/>
  <c r="P101" i="9"/>
  <c r="Q101" i="9"/>
  <c r="R101" i="9"/>
  <c r="S101" i="9"/>
  <c r="T101" i="9"/>
  <c r="U101" i="9"/>
  <c r="V101" i="9"/>
  <c r="W101" i="9"/>
  <c r="X101" i="9"/>
  <c r="Y101" i="9"/>
  <c r="Z101" i="9"/>
  <c r="AB101" i="9"/>
  <c r="AB107" i="9" s="1"/>
  <c r="AC101" i="9"/>
  <c r="AD101" i="9"/>
  <c r="G102" i="9"/>
  <c r="K102" i="9"/>
  <c r="O102" i="9"/>
  <c r="S102" i="9"/>
  <c r="W102" i="9"/>
  <c r="AA102" i="9"/>
  <c r="AE102" i="9"/>
  <c r="G103" i="9"/>
  <c r="K103" i="9"/>
  <c r="O103" i="9"/>
  <c r="S103" i="9"/>
  <c r="W103" i="9"/>
  <c r="AA103" i="9"/>
  <c r="AE103" i="9"/>
  <c r="G104" i="9"/>
  <c r="K104" i="9"/>
  <c r="O104" i="9"/>
  <c r="S104" i="9"/>
  <c r="W104" i="9"/>
  <c r="AA104" i="9"/>
  <c r="AE104" i="9"/>
  <c r="G105" i="9"/>
  <c r="K105" i="9"/>
  <c r="O105" i="9"/>
  <c r="S105" i="9"/>
  <c r="W105" i="9"/>
  <c r="AA105" i="9"/>
  <c r="AE105" i="9"/>
  <c r="D106" i="9"/>
  <c r="E106" i="9"/>
  <c r="E107" i="9" s="1"/>
  <c r="F106" i="9"/>
  <c r="H106" i="9"/>
  <c r="I106" i="9"/>
  <c r="J106" i="9"/>
  <c r="L106" i="9"/>
  <c r="L107" i="9" s="1"/>
  <c r="M106" i="9"/>
  <c r="M107" i="9" s="1"/>
  <c r="N106" i="9"/>
  <c r="O106" i="9"/>
  <c r="P106" i="9"/>
  <c r="P107" i="9" s="1"/>
  <c r="Q106" i="9"/>
  <c r="Q107" i="9" s="1"/>
  <c r="R106" i="9"/>
  <c r="S106" i="9"/>
  <c r="T106" i="9"/>
  <c r="T107" i="9" s="1"/>
  <c r="U106" i="9"/>
  <c r="U107" i="9" s="1"/>
  <c r="V106" i="9"/>
  <c r="X106" i="9"/>
  <c r="X107" i="9" s="1"/>
  <c r="Y106" i="9"/>
  <c r="Y107" i="9" s="1"/>
  <c r="Z106" i="9"/>
  <c r="AB106" i="9"/>
  <c r="AC106" i="9"/>
  <c r="AD106" i="9"/>
  <c r="D107" i="9"/>
  <c r="H107" i="9"/>
  <c r="S107" i="9"/>
  <c r="G108" i="9"/>
  <c r="K108" i="9"/>
  <c r="O108" i="9"/>
  <c r="S108" i="9"/>
  <c r="S112" i="9" s="1"/>
  <c r="W108" i="9"/>
  <c r="AA108" i="9"/>
  <c r="AE108" i="9"/>
  <c r="G109" i="9"/>
  <c r="K109" i="9"/>
  <c r="O109" i="9"/>
  <c r="S109" i="9"/>
  <c r="W109" i="9"/>
  <c r="AA109" i="9"/>
  <c r="AE109" i="9"/>
  <c r="G110" i="9"/>
  <c r="K110" i="9"/>
  <c r="O110" i="9"/>
  <c r="S110" i="9"/>
  <c r="W110" i="9"/>
  <c r="AA110" i="9"/>
  <c r="AE110" i="9"/>
  <c r="G111" i="9"/>
  <c r="K111" i="9"/>
  <c r="O111" i="9"/>
  <c r="S111" i="9"/>
  <c r="W111" i="9"/>
  <c r="AA111" i="9"/>
  <c r="AE111" i="9"/>
  <c r="D112" i="9"/>
  <c r="E112" i="9"/>
  <c r="F112" i="9"/>
  <c r="G112" i="9"/>
  <c r="H112" i="9"/>
  <c r="I112" i="9"/>
  <c r="J112" i="9"/>
  <c r="K112" i="9"/>
  <c r="L112" i="9"/>
  <c r="M112" i="9"/>
  <c r="N112" i="9"/>
  <c r="P112" i="9"/>
  <c r="Q112" i="9"/>
  <c r="R112" i="9"/>
  <c r="T112" i="9"/>
  <c r="U112" i="9"/>
  <c r="V112" i="9"/>
  <c r="X112" i="9"/>
  <c r="Y112" i="9"/>
  <c r="Z112" i="9"/>
  <c r="AB112" i="9"/>
  <c r="AC112" i="9"/>
  <c r="AD112" i="9"/>
  <c r="G113" i="9"/>
  <c r="K113" i="9"/>
  <c r="O113" i="9"/>
  <c r="O117" i="9" s="1"/>
  <c r="S113" i="9"/>
  <c r="W113" i="9"/>
  <c r="AA113" i="9"/>
  <c r="AE113" i="9"/>
  <c r="AE117" i="9" s="1"/>
  <c r="G114" i="9"/>
  <c r="K114" i="9"/>
  <c r="O114" i="9"/>
  <c r="S114" i="9"/>
  <c r="S117" i="9" s="1"/>
  <c r="W114" i="9"/>
  <c r="AA114" i="9"/>
  <c r="AE114" i="9"/>
  <c r="G115" i="9"/>
  <c r="G117" i="9" s="1"/>
  <c r="K115" i="9"/>
  <c r="O115" i="9"/>
  <c r="S115" i="9"/>
  <c r="W115" i="9"/>
  <c r="W117" i="9" s="1"/>
  <c r="AA115" i="9"/>
  <c r="AE115" i="9"/>
  <c r="G116" i="9"/>
  <c r="K116" i="9"/>
  <c r="O116" i="9"/>
  <c r="S116" i="9"/>
  <c r="W116" i="9"/>
  <c r="AA116" i="9"/>
  <c r="AE116" i="9"/>
  <c r="D117" i="9"/>
  <c r="E117" i="9"/>
  <c r="F117" i="9"/>
  <c r="H117" i="9"/>
  <c r="I117" i="9"/>
  <c r="J117" i="9"/>
  <c r="L117" i="9"/>
  <c r="M117" i="9"/>
  <c r="N117" i="9"/>
  <c r="P117" i="9"/>
  <c r="Q117" i="9"/>
  <c r="R117" i="9"/>
  <c r="T117" i="9"/>
  <c r="U117" i="9"/>
  <c r="V117" i="9"/>
  <c r="X117" i="9"/>
  <c r="Y117" i="9"/>
  <c r="Z117" i="9"/>
  <c r="AB117" i="9"/>
  <c r="AC117" i="9"/>
  <c r="AD117" i="9"/>
  <c r="G118" i="9"/>
  <c r="K118" i="9"/>
  <c r="O118" i="9"/>
  <c r="O122" i="9" s="1"/>
  <c r="S118" i="9"/>
  <c r="W118" i="9"/>
  <c r="AA118" i="9"/>
  <c r="AE118" i="9"/>
  <c r="AE122" i="9" s="1"/>
  <c r="G119" i="9"/>
  <c r="K119" i="9"/>
  <c r="O119" i="9"/>
  <c r="S119" i="9"/>
  <c r="W119" i="9"/>
  <c r="AA119" i="9"/>
  <c r="AE119" i="9"/>
  <c r="G120" i="9"/>
  <c r="K120" i="9"/>
  <c r="O120" i="9"/>
  <c r="S120" i="9"/>
  <c r="W120" i="9"/>
  <c r="AA120" i="9"/>
  <c r="AE120" i="9"/>
  <c r="G121" i="9"/>
  <c r="K121" i="9"/>
  <c r="O121" i="9"/>
  <c r="S121" i="9"/>
  <c r="W121" i="9"/>
  <c r="AA121" i="9"/>
  <c r="AE121" i="9"/>
  <c r="D122" i="9"/>
  <c r="E122" i="9"/>
  <c r="F122" i="9"/>
  <c r="H122" i="9"/>
  <c r="I122" i="9"/>
  <c r="J122" i="9"/>
  <c r="K122" i="9"/>
  <c r="L122" i="9"/>
  <c r="M122" i="9"/>
  <c r="N122" i="9"/>
  <c r="P122" i="9"/>
  <c r="P128" i="9" s="1"/>
  <c r="Q122" i="9"/>
  <c r="R122" i="9"/>
  <c r="S122" i="9"/>
  <c r="T122" i="9"/>
  <c r="T128" i="9" s="1"/>
  <c r="U122" i="9"/>
  <c r="V122" i="9"/>
  <c r="X122" i="9"/>
  <c r="X128" i="9" s="1"/>
  <c r="Y122" i="9"/>
  <c r="Z122" i="9"/>
  <c r="AB122" i="9"/>
  <c r="AB128" i="9" s="1"/>
  <c r="AC122" i="9"/>
  <c r="AD122" i="9"/>
  <c r="G123" i="9"/>
  <c r="K123" i="9"/>
  <c r="O123" i="9"/>
  <c r="S123" i="9"/>
  <c r="W123" i="9"/>
  <c r="AA123" i="9"/>
  <c r="AE123" i="9"/>
  <c r="G124" i="9"/>
  <c r="K124" i="9"/>
  <c r="O124" i="9"/>
  <c r="S124" i="9"/>
  <c r="W124" i="9"/>
  <c r="AA124" i="9"/>
  <c r="AE124" i="9"/>
  <c r="G125" i="9"/>
  <c r="K125" i="9"/>
  <c r="O125" i="9"/>
  <c r="S125" i="9"/>
  <c r="W125" i="9"/>
  <c r="AA125" i="9"/>
  <c r="AE125" i="9"/>
  <c r="G126" i="9"/>
  <c r="K126" i="9"/>
  <c r="O126" i="9"/>
  <c r="S126" i="9"/>
  <c r="W126" i="9"/>
  <c r="AA126" i="9"/>
  <c r="AE126" i="9"/>
  <c r="D127" i="9"/>
  <c r="E127" i="9"/>
  <c r="F127" i="9"/>
  <c r="G127" i="9"/>
  <c r="H127" i="9"/>
  <c r="I127" i="9"/>
  <c r="I128" i="9" s="1"/>
  <c r="J127" i="9"/>
  <c r="J128" i="9" s="1"/>
  <c r="L127" i="9"/>
  <c r="M127" i="9"/>
  <c r="M128" i="9" s="1"/>
  <c r="N127" i="9"/>
  <c r="P127" i="9"/>
  <c r="Q127" i="9"/>
  <c r="Q128" i="9" s="1"/>
  <c r="R127" i="9"/>
  <c r="R128" i="9" s="1"/>
  <c r="S127" i="9"/>
  <c r="T127" i="9"/>
  <c r="U127" i="9"/>
  <c r="U128" i="9" s="1"/>
  <c r="V127" i="9"/>
  <c r="W127" i="9"/>
  <c r="X127" i="9"/>
  <c r="Y127" i="9"/>
  <c r="Z127" i="9"/>
  <c r="Z128" i="9" s="1"/>
  <c r="AB127" i="9"/>
  <c r="AC127" i="9"/>
  <c r="AC128" i="9" s="1"/>
  <c r="AD127" i="9"/>
  <c r="AD128" i="9" s="1"/>
  <c r="D128" i="9"/>
  <c r="E128" i="9"/>
  <c r="H128" i="9"/>
  <c r="N128" i="9"/>
  <c r="Y128" i="9"/>
  <c r="G129" i="9"/>
  <c r="K129" i="9"/>
  <c r="O129" i="9"/>
  <c r="S129" i="9"/>
  <c r="W129" i="9"/>
  <c r="AA129" i="9"/>
  <c r="AA133" i="9" s="1"/>
  <c r="AE129" i="9"/>
  <c r="G130" i="9"/>
  <c r="K130" i="9"/>
  <c r="O130" i="9"/>
  <c r="O133" i="9" s="1"/>
  <c r="S130" i="9"/>
  <c r="W130" i="9"/>
  <c r="AA130" i="9"/>
  <c r="AE130" i="9"/>
  <c r="AE133" i="9" s="1"/>
  <c r="G131" i="9"/>
  <c r="K131" i="9"/>
  <c r="O131" i="9"/>
  <c r="S131" i="9"/>
  <c r="S133" i="9" s="1"/>
  <c r="W131" i="9"/>
  <c r="AA131" i="9"/>
  <c r="AE131" i="9"/>
  <c r="G132" i="9"/>
  <c r="K132" i="9"/>
  <c r="O132" i="9"/>
  <c r="S132" i="9"/>
  <c r="W132" i="9"/>
  <c r="AA132" i="9"/>
  <c r="AE132" i="9"/>
  <c r="D133" i="9"/>
  <c r="E133" i="9"/>
  <c r="F133" i="9"/>
  <c r="H133" i="9"/>
  <c r="I133" i="9"/>
  <c r="J133" i="9"/>
  <c r="L133" i="9"/>
  <c r="M133" i="9"/>
  <c r="N133" i="9"/>
  <c r="P133" i="9"/>
  <c r="Q133" i="9"/>
  <c r="R133" i="9"/>
  <c r="T133" i="9"/>
  <c r="U133" i="9"/>
  <c r="V133" i="9"/>
  <c r="X133" i="9"/>
  <c r="Y133" i="9"/>
  <c r="Z133" i="9"/>
  <c r="AB133" i="9"/>
  <c r="AC133" i="9"/>
  <c r="AD133" i="9"/>
  <c r="G134" i="9"/>
  <c r="K134" i="9"/>
  <c r="K138" i="9" s="1"/>
  <c r="O134" i="9"/>
  <c r="S134" i="9"/>
  <c r="W134" i="9"/>
  <c r="AA134" i="9"/>
  <c r="AA138" i="9" s="1"/>
  <c r="AE134" i="9"/>
  <c r="G135" i="9"/>
  <c r="K135" i="9"/>
  <c r="O135" i="9"/>
  <c r="S135" i="9"/>
  <c r="W135" i="9"/>
  <c r="AA135" i="9"/>
  <c r="AE135" i="9"/>
  <c r="G136" i="9"/>
  <c r="K136" i="9"/>
  <c r="O136" i="9"/>
  <c r="S136" i="9"/>
  <c r="W136" i="9"/>
  <c r="AA136" i="9"/>
  <c r="AE136" i="9"/>
  <c r="G137" i="9"/>
  <c r="K137" i="9"/>
  <c r="O137" i="9"/>
  <c r="S137" i="9"/>
  <c r="W137" i="9"/>
  <c r="AA137" i="9"/>
  <c r="AE137" i="9"/>
  <c r="D138" i="9"/>
  <c r="E138" i="9"/>
  <c r="F138" i="9"/>
  <c r="H138" i="9"/>
  <c r="H144" i="9" s="1"/>
  <c r="I138" i="9"/>
  <c r="J138" i="9"/>
  <c r="L138" i="9"/>
  <c r="M138" i="9"/>
  <c r="N138" i="9"/>
  <c r="P138" i="9"/>
  <c r="P144" i="9" s="1"/>
  <c r="Q138" i="9"/>
  <c r="R138" i="9"/>
  <c r="S138" i="9"/>
  <c r="T138" i="9"/>
  <c r="U138" i="9"/>
  <c r="V138" i="9"/>
  <c r="X138" i="9"/>
  <c r="X144" i="9" s="1"/>
  <c r="Y138" i="9"/>
  <c r="Z138" i="9"/>
  <c r="AB138" i="9"/>
  <c r="AC138" i="9"/>
  <c r="AD138" i="9"/>
  <c r="AD144" i="9" s="1"/>
  <c r="G139" i="9"/>
  <c r="K139" i="9"/>
  <c r="O139" i="9"/>
  <c r="S139" i="9"/>
  <c r="W139" i="9"/>
  <c r="AA139" i="9"/>
  <c r="AA143" i="9" s="1"/>
  <c r="AA144" i="9" s="1"/>
  <c r="AE139" i="9"/>
  <c r="AE143" i="9" s="1"/>
  <c r="G140" i="9"/>
  <c r="K140" i="9"/>
  <c r="O140" i="9"/>
  <c r="S140" i="9"/>
  <c r="W140" i="9"/>
  <c r="AA140" i="9"/>
  <c r="AE140" i="9"/>
  <c r="G141" i="9"/>
  <c r="K141" i="9"/>
  <c r="O141" i="9"/>
  <c r="S141" i="9"/>
  <c r="W141" i="9"/>
  <c r="AA141" i="9"/>
  <c r="AE141" i="9"/>
  <c r="G142" i="9"/>
  <c r="K142" i="9"/>
  <c r="O142" i="9"/>
  <c r="S142" i="9"/>
  <c r="W142" i="9"/>
  <c r="AA142" i="9"/>
  <c r="AE142" i="9"/>
  <c r="D143" i="9"/>
  <c r="E143" i="9"/>
  <c r="E144" i="9" s="1"/>
  <c r="F143" i="9"/>
  <c r="H143" i="9"/>
  <c r="I143" i="9"/>
  <c r="I144" i="9" s="1"/>
  <c r="J143" i="9"/>
  <c r="J144" i="9" s="1"/>
  <c r="L143" i="9"/>
  <c r="M143" i="9"/>
  <c r="N143" i="9"/>
  <c r="N144" i="9" s="1"/>
  <c r="O143" i="9"/>
  <c r="P143" i="9"/>
  <c r="Q143" i="9"/>
  <c r="R143" i="9"/>
  <c r="R144" i="9" s="1"/>
  <c r="S143" i="9"/>
  <c r="S144" i="9" s="1"/>
  <c r="T143" i="9"/>
  <c r="T144" i="9" s="1"/>
  <c r="U143" i="9"/>
  <c r="V143" i="9"/>
  <c r="W143" i="9"/>
  <c r="X143" i="9"/>
  <c r="Y143" i="9"/>
  <c r="Z143" i="9"/>
  <c r="AB143" i="9"/>
  <c r="AC143" i="9"/>
  <c r="AD143" i="9"/>
  <c r="D144" i="9"/>
  <c r="M144" i="9"/>
  <c r="U144" i="9"/>
  <c r="AC144" i="9"/>
  <c r="G145" i="9"/>
  <c r="K145" i="9"/>
  <c r="O145" i="9"/>
  <c r="S145" i="9"/>
  <c r="S149" i="9" s="1"/>
  <c r="W145" i="9"/>
  <c r="AA145" i="9"/>
  <c r="AE145" i="9"/>
  <c r="G146" i="9"/>
  <c r="K146" i="9"/>
  <c r="O146" i="9"/>
  <c r="S146" i="9"/>
  <c r="W146" i="9"/>
  <c r="W149" i="9" s="1"/>
  <c r="AA146" i="9"/>
  <c r="AE146" i="9"/>
  <c r="G147" i="9"/>
  <c r="K147" i="9"/>
  <c r="O147" i="9"/>
  <c r="S147" i="9"/>
  <c r="W147" i="9"/>
  <c r="AA147" i="9"/>
  <c r="AE147" i="9"/>
  <c r="G148" i="9"/>
  <c r="K148" i="9"/>
  <c r="O148" i="9"/>
  <c r="O149" i="9" s="1"/>
  <c r="S148" i="9"/>
  <c r="W148" i="9"/>
  <c r="AA148" i="9"/>
  <c r="AE148" i="9"/>
  <c r="D149" i="9"/>
  <c r="E149" i="9"/>
  <c r="F149" i="9"/>
  <c r="G149" i="9"/>
  <c r="H149" i="9"/>
  <c r="I149" i="9"/>
  <c r="J149" i="9"/>
  <c r="L149" i="9"/>
  <c r="M149" i="9"/>
  <c r="N149" i="9"/>
  <c r="P149" i="9"/>
  <c r="Q149" i="9"/>
  <c r="R149" i="9"/>
  <c r="T149" i="9"/>
  <c r="U149" i="9"/>
  <c r="V149" i="9"/>
  <c r="X149" i="9"/>
  <c r="Y149" i="9"/>
  <c r="Z149" i="9"/>
  <c r="AB149" i="9"/>
  <c r="AC149" i="9"/>
  <c r="AD149" i="9"/>
  <c r="G150" i="9"/>
  <c r="K150" i="9"/>
  <c r="K154" i="9" s="1"/>
  <c r="O150" i="9"/>
  <c r="S150" i="9"/>
  <c r="W150" i="9"/>
  <c r="AA150" i="9"/>
  <c r="AE150" i="9"/>
  <c r="G151" i="9"/>
  <c r="K151" i="9"/>
  <c r="O151" i="9"/>
  <c r="S151" i="9"/>
  <c r="W151" i="9"/>
  <c r="AA151" i="9"/>
  <c r="AE151" i="9"/>
  <c r="G152" i="9"/>
  <c r="K152" i="9"/>
  <c r="O152" i="9"/>
  <c r="S152" i="9"/>
  <c r="S154" i="9" s="1"/>
  <c r="W152" i="9"/>
  <c r="AA152" i="9"/>
  <c r="AE152" i="9"/>
  <c r="G153" i="9"/>
  <c r="K153" i="9"/>
  <c r="O153" i="9"/>
  <c r="S153" i="9"/>
  <c r="W153" i="9"/>
  <c r="AA153" i="9"/>
  <c r="AE153" i="9"/>
  <c r="D154" i="9"/>
  <c r="E154" i="9"/>
  <c r="F154" i="9"/>
  <c r="H154" i="9"/>
  <c r="I154" i="9"/>
  <c r="J154" i="9"/>
  <c r="L154" i="9"/>
  <c r="M154" i="9"/>
  <c r="N154" i="9"/>
  <c r="P154" i="9"/>
  <c r="Q154" i="9"/>
  <c r="R154" i="9"/>
  <c r="T154" i="9"/>
  <c r="U154" i="9"/>
  <c r="V154" i="9"/>
  <c r="X154" i="9"/>
  <c r="Y154" i="9"/>
  <c r="Z154" i="9"/>
  <c r="AA154" i="9"/>
  <c r="AB154" i="9"/>
  <c r="AC154" i="9"/>
  <c r="AD154" i="9"/>
  <c r="G155" i="9"/>
  <c r="K155" i="9"/>
  <c r="O155" i="9"/>
  <c r="O159" i="9" s="1"/>
  <c r="S155" i="9"/>
  <c r="W155" i="9"/>
  <c r="AA155" i="9"/>
  <c r="AE155" i="9"/>
  <c r="AE159" i="9" s="1"/>
  <c r="G156" i="9"/>
  <c r="K156" i="9"/>
  <c r="O156" i="9"/>
  <c r="S156" i="9"/>
  <c r="W156" i="9"/>
  <c r="AA156" i="9"/>
  <c r="AE156" i="9"/>
  <c r="G157" i="9"/>
  <c r="K157" i="9"/>
  <c r="O157" i="9"/>
  <c r="S157" i="9"/>
  <c r="W157" i="9"/>
  <c r="AA157" i="9"/>
  <c r="AE157" i="9"/>
  <c r="G158" i="9"/>
  <c r="K158" i="9"/>
  <c r="O158" i="9"/>
  <c r="S158" i="9"/>
  <c r="W158" i="9"/>
  <c r="AA158" i="9"/>
  <c r="AE158" i="9"/>
  <c r="D159" i="9"/>
  <c r="E159" i="9"/>
  <c r="F159" i="9"/>
  <c r="H159" i="9"/>
  <c r="I159" i="9"/>
  <c r="J159" i="9"/>
  <c r="L159" i="9"/>
  <c r="M159" i="9"/>
  <c r="N159" i="9"/>
  <c r="P159" i="9"/>
  <c r="Q159" i="9"/>
  <c r="R159" i="9"/>
  <c r="S159" i="9"/>
  <c r="T159" i="9"/>
  <c r="U159" i="9"/>
  <c r="V159" i="9"/>
  <c r="X159" i="9"/>
  <c r="Y159" i="9"/>
  <c r="Z159" i="9"/>
  <c r="AB159" i="9"/>
  <c r="AC159" i="9"/>
  <c r="AD159" i="9"/>
  <c r="G160" i="9"/>
  <c r="K160" i="9"/>
  <c r="O160" i="9"/>
  <c r="S160" i="9"/>
  <c r="W160" i="9"/>
  <c r="AA160" i="9"/>
  <c r="AE160" i="9"/>
  <c r="G161" i="9"/>
  <c r="K161" i="9"/>
  <c r="O161" i="9"/>
  <c r="S161" i="9"/>
  <c r="W161" i="9"/>
  <c r="AA161" i="9"/>
  <c r="AE161" i="9"/>
  <c r="G162" i="9"/>
  <c r="K162" i="9"/>
  <c r="O162" i="9"/>
  <c r="S162" i="9"/>
  <c r="S164" i="9" s="1"/>
  <c r="W162" i="9"/>
  <c r="AA162" i="9"/>
  <c r="AE162" i="9"/>
  <c r="G163" i="9"/>
  <c r="K163" i="9"/>
  <c r="O163" i="9"/>
  <c r="S163" i="9"/>
  <c r="W163" i="9"/>
  <c r="AA163" i="9"/>
  <c r="AE163" i="9"/>
  <c r="D164" i="9"/>
  <c r="E164" i="9"/>
  <c r="F164" i="9"/>
  <c r="H164" i="9"/>
  <c r="I164" i="9"/>
  <c r="J164" i="9"/>
  <c r="L164" i="9"/>
  <c r="M164" i="9"/>
  <c r="N164" i="9"/>
  <c r="P164" i="9"/>
  <c r="Q164" i="9"/>
  <c r="R164" i="9"/>
  <c r="T164" i="9"/>
  <c r="U164" i="9"/>
  <c r="V164" i="9"/>
  <c r="X164" i="9"/>
  <c r="Y164" i="9"/>
  <c r="Z164" i="9"/>
  <c r="AB164" i="9"/>
  <c r="AC164" i="9"/>
  <c r="AD164" i="9"/>
  <c r="G165" i="9"/>
  <c r="K165" i="9"/>
  <c r="O165" i="9"/>
  <c r="S165" i="9"/>
  <c r="S169" i="9" s="1"/>
  <c r="W165" i="9"/>
  <c r="AA165" i="9"/>
  <c r="AE165" i="9"/>
  <c r="AE169" i="9" s="1"/>
  <c r="G166" i="9"/>
  <c r="K166" i="9"/>
  <c r="O166" i="9"/>
  <c r="S166" i="9"/>
  <c r="W166" i="9"/>
  <c r="AA166" i="9"/>
  <c r="AE166" i="9"/>
  <c r="G167" i="9"/>
  <c r="K167" i="9"/>
  <c r="O167" i="9"/>
  <c r="S167" i="9"/>
  <c r="W167" i="9"/>
  <c r="AA167" i="9"/>
  <c r="AE167" i="9"/>
  <c r="G168" i="9"/>
  <c r="K168" i="9"/>
  <c r="O168" i="9"/>
  <c r="S168" i="9"/>
  <c r="W168" i="9"/>
  <c r="AA168" i="9"/>
  <c r="AE168" i="9"/>
  <c r="D169" i="9"/>
  <c r="E169" i="9"/>
  <c r="F169" i="9"/>
  <c r="H169" i="9"/>
  <c r="I169" i="9"/>
  <c r="J169" i="9"/>
  <c r="L169" i="9"/>
  <c r="M169" i="9"/>
  <c r="N169" i="9"/>
  <c r="P169" i="9"/>
  <c r="Q169" i="9"/>
  <c r="R169" i="9"/>
  <c r="T169" i="9"/>
  <c r="U169" i="9"/>
  <c r="V169" i="9"/>
  <c r="X169" i="9"/>
  <c r="Y169" i="9"/>
  <c r="Z169" i="9"/>
  <c r="AB169" i="9"/>
  <c r="AC169" i="9"/>
  <c r="AD169" i="9"/>
  <c r="G170" i="9"/>
  <c r="K170" i="9"/>
  <c r="O170" i="9"/>
  <c r="S170" i="9"/>
  <c r="W170" i="9"/>
  <c r="AA170" i="9"/>
  <c r="AE170" i="9"/>
  <c r="AE174" i="9" s="1"/>
  <c r="G171" i="9"/>
  <c r="K171" i="9"/>
  <c r="O171" i="9"/>
  <c r="S171" i="9"/>
  <c r="W171" i="9"/>
  <c r="AA171" i="9"/>
  <c r="AE171" i="9"/>
  <c r="G172" i="9"/>
  <c r="K172" i="9"/>
  <c r="O172" i="9"/>
  <c r="S172" i="9"/>
  <c r="W172" i="9"/>
  <c r="AA172" i="9"/>
  <c r="AE172" i="9"/>
  <c r="G173" i="9"/>
  <c r="K173" i="9"/>
  <c r="O173" i="9"/>
  <c r="S173" i="9"/>
  <c r="W173" i="9"/>
  <c r="AA173" i="9"/>
  <c r="AE173" i="9"/>
  <c r="D174" i="9"/>
  <c r="E174" i="9"/>
  <c r="F174" i="9"/>
  <c r="H174" i="9"/>
  <c r="I174" i="9"/>
  <c r="J174" i="9"/>
  <c r="K174" i="9"/>
  <c r="L174" i="9"/>
  <c r="M174" i="9"/>
  <c r="N174" i="9"/>
  <c r="O174" i="9"/>
  <c r="P174" i="9"/>
  <c r="Q174" i="9"/>
  <c r="R174" i="9"/>
  <c r="S174" i="9"/>
  <c r="T174" i="9"/>
  <c r="U174" i="9"/>
  <c r="V174" i="9"/>
  <c r="X174" i="9"/>
  <c r="Y174" i="9"/>
  <c r="Z174" i="9"/>
  <c r="AB174" i="9"/>
  <c r="AC174" i="9"/>
  <c r="AD174" i="9"/>
  <c r="G175" i="9"/>
  <c r="K175" i="9"/>
  <c r="K179" i="9" s="1"/>
  <c r="O175" i="9"/>
  <c r="O179" i="9" s="1"/>
  <c r="S175" i="9"/>
  <c r="W175" i="9"/>
  <c r="AA175" i="9"/>
  <c r="AA179" i="9" s="1"/>
  <c r="AE175" i="9"/>
  <c r="AE179" i="9" s="1"/>
  <c r="G176" i="9"/>
  <c r="K176" i="9"/>
  <c r="O176" i="9"/>
  <c r="S176" i="9"/>
  <c r="W176" i="9"/>
  <c r="AA176" i="9"/>
  <c r="AE176" i="9"/>
  <c r="G177" i="9"/>
  <c r="K177" i="9"/>
  <c r="O177" i="9"/>
  <c r="S177" i="9"/>
  <c r="W177" i="9"/>
  <c r="W179" i="9" s="1"/>
  <c r="AA177" i="9"/>
  <c r="AE177" i="9"/>
  <c r="G178" i="9"/>
  <c r="AF178" i="9" s="1"/>
  <c r="K178" i="9"/>
  <c r="O178" i="9"/>
  <c r="S178" i="9"/>
  <c r="W178" i="9"/>
  <c r="AA178" i="9"/>
  <c r="AE178" i="9"/>
  <c r="D179" i="9"/>
  <c r="E179" i="9"/>
  <c r="F179" i="9"/>
  <c r="H179" i="9"/>
  <c r="I179" i="9"/>
  <c r="J179" i="9"/>
  <c r="L179" i="9"/>
  <c r="M179" i="9"/>
  <c r="N179" i="9"/>
  <c r="P179" i="9"/>
  <c r="Q179" i="9"/>
  <c r="R179" i="9"/>
  <c r="S179" i="9"/>
  <c r="T179" i="9"/>
  <c r="U179" i="9"/>
  <c r="V179" i="9"/>
  <c r="X179" i="9"/>
  <c r="Y179" i="9"/>
  <c r="Z179" i="9"/>
  <c r="AB179" i="9"/>
  <c r="AC179" i="9"/>
  <c r="AD179" i="9"/>
  <c r="G180" i="9"/>
  <c r="K180" i="9"/>
  <c r="O180" i="9"/>
  <c r="S180" i="9"/>
  <c r="W180" i="9"/>
  <c r="W184" i="9" s="1"/>
  <c r="AA180" i="9"/>
  <c r="AE180" i="9"/>
  <c r="G181" i="9"/>
  <c r="K181" i="9"/>
  <c r="O181" i="9"/>
  <c r="S181" i="9"/>
  <c r="W181" i="9"/>
  <c r="AA181" i="9"/>
  <c r="AE181" i="9"/>
  <c r="G182" i="9"/>
  <c r="K182" i="9"/>
  <c r="O182" i="9"/>
  <c r="S182" i="9"/>
  <c r="W182" i="9"/>
  <c r="AA182" i="9"/>
  <c r="AE182" i="9"/>
  <c r="G183" i="9"/>
  <c r="K183" i="9"/>
  <c r="O183" i="9"/>
  <c r="S183" i="9"/>
  <c r="W183" i="9"/>
  <c r="AA183" i="9"/>
  <c r="AE183" i="9"/>
  <c r="D184" i="9"/>
  <c r="E184" i="9"/>
  <c r="F184" i="9"/>
  <c r="H184" i="9"/>
  <c r="I184" i="9"/>
  <c r="J184" i="9"/>
  <c r="L184" i="9"/>
  <c r="M184" i="9"/>
  <c r="N184" i="9"/>
  <c r="P184" i="9"/>
  <c r="Q184" i="9"/>
  <c r="R184" i="9"/>
  <c r="S184" i="9"/>
  <c r="T184" i="9"/>
  <c r="U184" i="9"/>
  <c r="V184" i="9"/>
  <c r="X184" i="9"/>
  <c r="Y184" i="9"/>
  <c r="Z184" i="9"/>
  <c r="AB184" i="9"/>
  <c r="AC184" i="9"/>
  <c r="AD184" i="9"/>
  <c r="G185" i="9"/>
  <c r="K185" i="9"/>
  <c r="O185" i="9"/>
  <c r="O189" i="9" s="1"/>
  <c r="S185" i="9"/>
  <c r="S189" i="9" s="1"/>
  <c r="W185" i="9"/>
  <c r="AA185" i="9"/>
  <c r="AE185" i="9"/>
  <c r="AE189" i="9" s="1"/>
  <c r="G186" i="9"/>
  <c r="K186" i="9"/>
  <c r="O186" i="9"/>
  <c r="S186" i="9"/>
  <c r="W186" i="9"/>
  <c r="AA186" i="9"/>
  <c r="AE186" i="9"/>
  <c r="G187" i="9"/>
  <c r="K187" i="9"/>
  <c r="O187" i="9"/>
  <c r="S187" i="9"/>
  <c r="W187" i="9"/>
  <c r="AA187" i="9"/>
  <c r="AE187" i="9"/>
  <c r="G188" i="9"/>
  <c r="K188" i="9"/>
  <c r="O188" i="9"/>
  <c r="S188" i="9"/>
  <c r="W188" i="9"/>
  <c r="AA188" i="9"/>
  <c r="AE188" i="9"/>
  <c r="D189" i="9"/>
  <c r="E189" i="9"/>
  <c r="F189" i="9"/>
  <c r="H189" i="9"/>
  <c r="I189" i="9"/>
  <c r="J189" i="9"/>
  <c r="L189" i="9"/>
  <c r="M189" i="9"/>
  <c r="N189" i="9"/>
  <c r="P189" i="9"/>
  <c r="Q189" i="9"/>
  <c r="R189" i="9"/>
  <c r="T189" i="9"/>
  <c r="U189" i="9"/>
  <c r="V189" i="9"/>
  <c r="X189" i="9"/>
  <c r="Y189" i="9"/>
  <c r="Z189" i="9"/>
  <c r="AB189" i="9"/>
  <c r="AC189" i="9"/>
  <c r="AD189" i="9"/>
  <c r="G190" i="9"/>
  <c r="K190" i="9"/>
  <c r="O190" i="9"/>
  <c r="S190" i="9"/>
  <c r="W190" i="9"/>
  <c r="AA190" i="9"/>
  <c r="AE190" i="9"/>
  <c r="AE194" i="9" s="1"/>
  <c r="G191" i="9"/>
  <c r="K191" i="9"/>
  <c r="O191" i="9"/>
  <c r="S191" i="9"/>
  <c r="W191" i="9"/>
  <c r="AA191" i="9"/>
  <c r="AE191" i="9"/>
  <c r="G192" i="9"/>
  <c r="K192" i="9"/>
  <c r="O192" i="9"/>
  <c r="S192" i="9"/>
  <c r="W192" i="9"/>
  <c r="AA192" i="9"/>
  <c r="AA194" i="9" s="1"/>
  <c r="AE192" i="9"/>
  <c r="G193" i="9"/>
  <c r="K193" i="9"/>
  <c r="O193" i="9"/>
  <c r="S193" i="9"/>
  <c r="W193" i="9"/>
  <c r="AA193" i="9"/>
  <c r="AE193" i="9"/>
  <c r="D194" i="9"/>
  <c r="E194" i="9"/>
  <c r="F194" i="9"/>
  <c r="H194" i="9"/>
  <c r="I194" i="9"/>
  <c r="J194" i="9"/>
  <c r="K194" i="9"/>
  <c r="L194" i="9"/>
  <c r="M194" i="9"/>
  <c r="N194" i="9"/>
  <c r="O194" i="9"/>
  <c r="P194" i="9"/>
  <c r="Q194" i="9"/>
  <c r="R194" i="9"/>
  <c r="S194" i="9"/>
  <c r="T194" i="9"/>
  <c r="U194" i="9"/>
  <c r="V194" i="9"/>
  <c r="X194" i="9"/>
  <c r="Y194" i="9"/>
  <c r="Z194" i="9"/>
  <c r="AB194" i="9"/>
  <c r="AC194" i="9"/>
  <c r="AD194" i="9"/>
  <c r="G195" i="9"/>
  <c r="AF195" i="9" s="1"/>
  <c r="K195" i="9"/>
  <c r="K199" i="9" s="1"/>
  <c r="O195" i="9"/>
  <c r="S195" i="9"/>
  <c r="W195" i="9"/>
  <c r="W199" i="9" s="1"/>
  <c r="AA195" i="9"/>
  <c r="AA199" i="9" s="1"/>
  <c r="AE195" i="9"/>
  <c r="G196" i="9"/>
  <c r="AF196" i="9" s="1"/>
  <c r="K196" i="9"/>
  <c r="O196" i="9"/>
  <c r="S196" i="9"/>
  <c r="W196" i="9"/>
  <c r="AA196" i="9"/>
  <c r="AE196" i="9"/>
  <c r="G197" i="9"/>
  <c r="AF197" i="9" s="1"/>
  <c r="K197" i="9"/>
  <c r="O197" i="9"/>
  <c r="S197" i="9"/>
  <c r="W197" i="9"/>
  <c r="AA197" i="9"/>
  <c r="AE197" i="9"/>
  <c r="G198" i="9"/>
  <c r="AF198" i="9" s="1"/>
  <c r="K198" i="9"/>
  <c r="O198" i="9"/>
  <c r="S198" i="9"/>
  <c r="W198" i="9"/>
  <c r="AA198" i="9"/>
  <c r="AE198" i="9"/>
  <c r="D199" i="9"/>
  <c r="E199" i="9"/>
  <c r="F199" i="9"/>
  <c r="H199" i="9"/>
  <c r="I199" i="9"/>
  <c r="J199" i="9"/>
  <c r="L199" i="9"/>
  <c r="M199" i="9"/>
  <c r="N199" i="9"/>
  <c r="O199" i="9"/>
  <c r="P199" i="9"/>
  <c r="Q199" i="9"/>
  <c r="R199" i="9"/>
  <c r="S199" i="9"/>
  <c r="T199" i="9"/>
  <c r="U199" i="9"/>
  <c r="V199" i="9"/>
  <c r="X199" i="9"/>
  <c r="Y199" i="9"/>
  <c r="Z199" i="9"/>
  <c r="AB199" i="9"/>
  <c r="AC199" i="9"/>
  <c r="AD199" i="9"/>
  <c r="AE199" i="9"/>
  <c r="G200" i="9"/>
  <c r="K200" i="9"/>
  <c r="O200" i="9"/>
  <c r="S200" i="9"/>
  <c r="W200" i="9"/>
  <c r="AA200" i="9"/>
  <c r="AE200" i="9"/>
  <c r="G201" i="9"/>
  <c r="K201" i="9"/>
  <c r="O201" i="9"/>
  <c r="S201" i="9"/>
  <c r="W201" i="9"/>
  <c r="AA201" i="9"/>
  <c r="AE201" i="9"/>
  <c r="G202" i="9"/>
  <c r="K202" i="9"/>
  <c r="O202" i="9"/>
  <c r="S202" i="9"/>
  <c r="W202" i="9"/>
  <c r="AA202" i="9"/>
  <c r="AE202" i="9"/>
  <c r="G203" i="9"/>
  <c r="K203" i="9"/>
  <c r="O203" i="9"/>
  <c r="S203" i="9"/>
  <c r="W203" i="9"/>
  <c r="AA203" i="9"/>
  <c r="AE203" i="9"/>
  <c r="D204" i="9"/>
  <c r="D205" i="9" s="1"/>
  <c r="E204" i="9"/>
  <c r="E205" i="9" s="1"/>
  <c r="F204" i="9"/>
  <c r="H204" i="9"/>
  <c r="I204" i="9"/>
  <c r="I205" i="9" s="1"/>
  <c r="J204" i="9"/>
  <c r="L204" i="9"/>
  <c r="M204" i="9"/>
  <c r="N204" i="9"/>
  <c r="P204" i="9"/>
  <c r="Q204" i="9"/>
  <c r="R204" i="9"/>
  <c r="R205" i="9" s="1"/>
  <c r="S204" i="9"/>
  <c r="T204" i="9"/>
  <c r="U204" i="9"/>
  <c r="V204" i="9"/>
  <c r="V205" i="9" s="1"/>
  <c r="X204" i="9"/>
  <c r="Y204" i="9"/>
  <c r="Y205" i="9" s="1"/>
  <c r="Z204" i="9"/>
  <c r="Z205" i="9" s="1"/>
  <c r="AB204" i="9"/>
  <c r="AC204" i="9"/>
  <c r="AC205" i="9" s="1"/>
  <c r="AD204" i="9"/>
  <c r="L205" i="9"/>
  <c r="Q205" i="9"/>
  <c r="G206" i="9"/>
  <c r="K206" i="9"/>
  <c r="K210" i="9" s="1"/>
  <c r="O206" i="9"/>
  <c r="S206" i="9"/>
  <c r="W206" i="9"/>
  <c r="W210" i="9" s="1"/>
  <c r="AA206" i="9"/>
  <c r="AE206" i="9"/>
  <c r="G207" i="9"/>
  <c r="K207" i="9"/>
  <c r="O207" i="9"/>
  <c r="S207" i="9"/>
  <c r="W207" i="9"/>
  <c r="AA207" i="9"/>
  <c r="AE207" i="9"/>
  <c r="G208" i="9"/>
  <c r="K208" i="9"/>
  <c r="O208" i="9"/>
  <c r="S208" i="9"/>
  <c r="W208" i="9"/>
  <c r="AA208" i="9"/>
  <c r="AE208" i="9"/>
  <c r="G209" i="9"/>
  <c r="K209" i="9"/>
  <c r="O209" i="9"/>
  <c r="S209" i="9"/>
  <c r="S210" i="9" s="1"/>
  <c r="W209" i="9"/>
  <c r="AA209" i="9"/>
  <c r="AE209" i="9"/>
  <c r="D210" i="9"/>
  <c r="E210" i="9"/>
  <c r="F210" i="9"/>
  <c r="H210" i="9"/>
  <c r="I210" i="9"/>
  <c r="J210" i="9"/>
  <c r="L210" i="9"/>
  <c r="M210" i="9"/>
  <c r="N210" i="9"/>
  <c r="P210" i="9"/>
  <c r="Q210" i="9"/>
  <c r="R210" i="9"/>
  <c r="T210" i="9"/>
  <c r="U210" i="9"/>
  <c r="V210" i="9"/>
  <c r="X210" i="9"/>
  <c r="Y210" i="9"/>
  <c r="Z210" i="9"/>
  <c r="AA210" i="9"/>
  <c r="AB210" i="9"/>
  <c r="AC210" i="9"/>
  <c r="AD210" i="9"/>
  <c r="G211" i="9"/>
  <c r="AF211" i="9" s="1"/>
  <c r="K211" i="9"/>
  <c r="K215" i="9" s="1"/>
  <c r="O211" i="9"/>
  <c r="O215" i="9" s="1"/>
  <c r="S211" i="9"/>
  <c r="W211" i="9"/>
  <c r="W215" i="9" s="1"/>
  <c r="AA211" i="9"/>
  <c r="AA215" i="9" s="1"/>
  <c r="AE211" i="9"/>
  <c r="AE215" i="9" s="1"/>
  <c r="G212" i="9"/>
  <c r="AF212" i="9" s="1"/>
  <c r="K212" i="9"/>
  <c r="O212" i="9"/>
  <c r="S212" i="9"/>
  <c r="W212" i="9"/>
  <c r="AA212" i="9"/>
  <c r="AE212" i="9"/>
  <c r="G213" i="9"/>
  <c r="AF213" i="9" s="1"/>
  <c r="K213" i="9"/>
  <c r="O213" i="9"/>
  <c r="S213" i="9"/>
  <c r="W213" i="9"/>
  <c r="AA213" i="9"/>
  <c r="AE213" i="9"/>
  <c r="G214" i="9"/>
  <c r="AF214" i="9" s="1"/>
  <c r="K214" i="9"/>
  <c r="O214" i="9"/>
  <c r="S214" i="9"/>
  <c r="W214" i="9"/>
  <c r="AA214" i="9"/>
  <c r="AE214" i="9"/>
  <c r="D215" i="9"/>
  <c r="E215" i="9"/>
  <c r="F215" i="9"/>
  <c r="H215" i="9"/>
  <c r="I215" i="9"/>
  <c r="J215" i="9"/>
  <c r="L215" i="9"/>
  <c r="M215" i="9"/>
  <c r="N215" i="9"/>
  <c r="P215" i="9"/>
  <c r="Q215" i="9"/>
  <c r="R215" i="9"/>
  <c r="S215" i="9"/>
  <c r="T215" i="9"/>
  <c r="U215" i="9"/>
  <c r="V215" i="9"/>
  <c r="X215" i="9"/>
  <c r="Y215" i="9"/>
  <c r="Z215" i="9"/>
  <c r="AB215" i="9"/>
  <c r="AC215" i="9"/>
  <c r="AD215" i="9"/>
  <c r="G216" i="9"/>
  <c r="K216" i="9"/>
  <c r="O216" i="9"/>
  <c r="S216" i="9"/>
  <c r="W216" i="9"/>
  <c r="AA216" i="9"/>
  <c r="AE216" i="9"/>
  <c r="G217" i="9"/>
  <c r="K217" i="9"/>
  <c r="O217" i="9"/>
  <c r="S217" i="9"/>
  <c r="W217" i="9"/>
  <c r="AA217" i="9"/>
  <c r="AE217" i="9"/>
  <c r="G218" i="9"/>
  <c r="K218" i="9"/>
  <c r="O218" i="9"/>
  <c r="S218" i="9"/>
  <c r="W218" i="9"/>
  <c r="AA218" i="9"/>
  <c r="AE218" i="9"/>
  <c r="G219" i="9"/>
  <c r="K219" i="9"/>
  <c r="O219" i="9"/>
  <c r="S219" i="9"/>
  <c r="W219" i="9"/>
  <c r="AA219" i="9"/>
  <c r="AE219" i="9"/>
  <c r="D220" i="9"/>
  <c r="E220" i="9"/>
  <c r="F220" i="9"/>
  <c r="H220" i="9"/>
  <c r="I220" i="9"/>
  <c r="J220" i="9"/>
  <c r="L220" i="9"/>
  <c r="M220" i="9"/>
  <c r="N220" i="9"/>
  <c r="P220" i="9"/>
  <c r="Q220" i="9"/>
  <c r="R220" i="9"/>
  <c r="S220" i="9"/>
  <c r="T220" i="9"/>
  <c r="U220" i="9"/>
  <c r="V220" i="9"/>
  <c r="X220" i="9"/>
  <c r="Y220" i="9"/>
  <c r="Z220" i="9"/>
  <c r="AB220" i="9"/>
  <c r="AC220" i="9"/>
  <c r="AD220" i="9"/>
  <c r="G221" i="9"/>
  <c r="K221" i="9"/>
  <c r="O221" i="9"/>
  <c r="O225" i="9" s="1"/>
  <c r="S221" i="9"/>
  <c r="S225" i="9" s="1"/>
  <c r="W221" i="9"/>
  <c r="AA221" i="9"/>
  <c r="AE221" i="9"/>
  <c r="AE225" i="9" s="1"/>
  <c r="G222" i="9"/>
  <c r="K222" i="9"/>
  <c r="O222" i="9"/>
  <c r="S222" i="9"/>
  <c r="W222" i="9"/>
  <c r="AA222" i="9"/>
  <c r="AE222" i="9"/>
  <c r="G223" i="9"/>
  <c r="K223" i="9"/>
  <c r="O223" i="9"/>
  <c r="S223" i="9"/>
  <c r="W223" i="9"/>
  <c r="AA223" i="9"/>
  <c r="AE223" i="9"/>
  <c r="G224" i="9"/>
  <c r="K224" i="9"/>
  <c r="O224" i="9"/>
  <c r="S224" i="9"/>
  <c r="W224" i="9"/>
  <c r="AA224" i="9"/>
  <c r="AE224" i="9"/>
  <c r="D225" i="9"/>
  <c r="E225" i="9"/>
  <c r="F225" i="9"/>
  <c r="H225" i="9"/>
  <c r="I225" i="9"/>
  <c r="J225" i="9"/>
  <c r="L225" i="9"/>
  <c r="M225" i="9"/>
  <c r="N225" i="9"/>
  <c r="P225" i="9"/>
  <c r="Q225" i="9"/>
  <c r="R225" i="9"/>
  <c r="T225" i="9"/>
  <c r="U225" i="9"/>
  <c r="V225" i="9"/>
  <c r="X225" i="9"/>
  <c r="Y225" i="9"/>
  <c r="Z225" i="9"/>
  <c r="AB225" i="9"/>
  <c r="AC225" i="9"/>
  <c r="AD225" i="9"/>
  <c r="G226" i="9"/>
  <c r="K226" i="9"/>
  <c r="O226" i="9"/>
  <c r="AF226" i="9" s="1"/>
  <c r="S226" i="9"/>
  <c r="W226" i="9"/>
  <c r="AA226" i="9"/>
  <c r="AE226" i="9"/>
  <c r="AE230" i="9" s="1"/>
  <c r="G227" i="9"/>
  <c r="K227" i="9"/>
  <c r="O227" i="9"/>
  <c r="AF227" i="9" s="1"/>
  <c r="S227" i="9"/>
  <c r="W227" i="9"/>
  <c r="AA227" i="9"/>
  <c r="AE227" i="9"/>
  <c r="G228" i="9"/>
  <c r="K228" i="9"/>
  <c r="O228" i="9"/>
  <c r="AF228" i="9" s="1"/>
  <c r="S228" i="9"/>
  <c r="W228" i="9"/>
  <c r="AA228" i="9"/>
  <c r="AE228" i="9"/>
  <c r="G229" i="9"/>
  <c r="K229" i="9"/>
  <c r="O229" i="9"/>
  <c r="AF229" i="9" s="1"/>
  <c r="S229" i="9"/>
  <c r="W229" i="9"/>
  <c r="AA229" i="9"/>
  <c r="AE229" i="9"/>
  <c r="D230" i="9"/>
  <c r="E230" i="9"/>
  <c r="F230" i="9"/>
  <c r="G230" i="9"/>
  <c r="H230" i="9"/>
  <c r="I230" i="9"/>
  <c r="J230" i="9"/>
  <c r="K230" i="9"/>
  <c r="L230" i="9"/>
  <c r="M230" i="9"/>
  <c r="N230" i="9"/>
  <c r="P230" i="9"/>
  <c r="Q230" i="9"/>
  <c r="R230" i="9"/>
  <c r="S230" i="9"/>
  <c r="T230" i="9"/>
  <c r="U230" i="9"/>
  <c r="V230" i="9"/>
  <c r="W230" i="9"/>
  <c r="X230" i="9"/>
  <c r="Y230" i="9"/>
  <c r="Z230" i="9"/>
  <c r="AA230" i="9"/>
  <c r="AB230" i="9"/>
  <c r="AC230" i="9"/>
  <c r="AD230" i="9"/>
  <c r="G231" i="9"/>
  <c r="K231" i="9"/>
  <c r="O231" i="9"/>
  <c r="S231" i="9"/>
  <c r="S235" i="9" s="1"/>
  <c r="W231" i="9"/>
  <c r="W235" i="9" s="1"/>
  <c r="AA231" i="9"/>
  <c r="AE231" i="9"/>
  <c r="G232" i="9"/>
  <c r="K232" i="9"/>
  <c r="O232" i="9"/>
  <c r="S232" i="9"/>
  <c r="W232" i="9"/>
  <c r="AA232" i="9"/>
  <c r="AE232" i="9"/>
  <c r="G233" i="9"/>
  <c r="G235" i="9" s="1"/>
  <c r="K233" i="9"/>
  <c r="O233" i="9"/>
  <c r="S233" i="9"/>
  <c r="W233" i="9"/>
  <c r="AA233" i="9"/>
  <c r="AE233" i="9"/>
  <c r="G234" i="9"/>
  <c r="K234" i="9"/>
  <c r="O234" i="9"/>
  <c r="S234" i="9"/>
  <c r="W234" i="9"/>
  <c r="AA234" i="9"/>
  <c r="AE234" i="9"/>
  <c r="D235" i="9"/>
  <c r="E235" i="9"/>
  <c r="F235" i="9"/>
  <c r="H235" i="9"/>
  <c r="I235" i="9"/>
  <c r="J235" i="9"/>
  <c r="L235" i="9"/>
  <c r="M235" i="9"/>
  <c r="N235" i="9"/>
  <c r="P235" i="9"/>
  <c r="Q235" i="9"/>
  <c r="R235" i="9"/>
  <c r="T235" i="9"/>
  <c r="U235" i="9"/>
  <c r="V235" i="9"/>
  <c r="X235" i="9"/>
  <c r="Y235" i="9"/>
  <c r="Z235" i="9"/>
  <c r="AB235" i="9"/>
  <c r="AC235" i="9"/>
  <c r="AD235" i="9"/>
  <c r="G236" i="9"/>
  <c r="K236" i="9"/>
  <c r="O236" i="9"/>
  <c r="O240" i="9" s="1"/>
  <c r="S236" i="9"/>
  <c r="S240" i="9" s="1"/>
  <c r="W236" i="9"/>
  <c r="AA236" i="9"/>
  <c r="AE236" i="9"/>
  <c r="AE240" i="9" s="1"/>
  <c r="G237" i="9"/>
  <c r="K237" i="9"/>
  <c r="O237" i="9"/>
  <c r="S237" i="9"/>
  <c r="W237" i="9"/>
  <c r="AA237" i="9"/>
  <c r="AE237" i="9"/>
  <c r="G238" i="9"/>
  <c r="K238" i="9"/>
  <c r="O238" i="9"/>
  <c r="S238" i="9"/>
  <c r="W238" i="9"/>
  <c r="AA238" i="9"/>
  <c r="AE238" i="9"/>
  <c r="G239" i="9"/>
  <c r="K239" i="9"/>
  <c r="O239" i="9"/>
  <c r="S239" i="9"/>
  <c r="W239" i="9"/>
  <c r="AA239" i="9"/>
  <c r="AE239" i="9"/>
  <c r="D240" i="9"/>
  <c r="E240" i="9"/>
  <c r="F240" i="9"/>
  <c r="H240" i="9"/>
  <c r="I240" i="9"/>
  <c r="J240" i="9"/>
  <c r="L240" i="9"/>
  <c r="M240" i="9"/>
  <c r="N240" i="9"/>
  <c r="P240" i="9"/>
  <c r="Q240" i="9"/>
  <c r="R240" i="9"/>
  <c r="T240" i="9"/>
  <c r="U240" i="9"/>
  <c r="V240" i="9"/>
  <c r="X240" i="9"/>
  <c r="Y240" i="9"/>
  <c r="Z240" i="9"/>
  <c r="AB240" i="9"/>
  <c r="AC240" i="9"/>
  <c r="AD240" i="9"/>
  <c r="G241" i="9"/>
  <c r="AF241" i="9" s="1"/>
  <c r="K241" i="9"/>
  <c r="K245" i="9" s="1"/>
  <c r="O241" i="9"/>
  <c r="O245" i="9" s="1"/>
  <c r="S241" i="9"/>
  <c r="W241" i="9"/>
  <c r="W245" i="9" s="1"/>
  <c r="AA241" i="9"/>
  <c r="AA245" i="9" s="1"/>
  <c r="AE241" i="9"/>
  <c r="AE245" i="9" s="1"/>
  <c r="G242" i="9"/>
  <c r="AF242" i="9" s="1"/>
  <c r="K242" i="9"/>
  <c r="O242" i="9"/>
  <c r="S242" i="9"/>
  <c r="W242" i="9"/>
  <c r="AA242" i="9"/>
  <c r="AE242" i="9"/>
  <c r="G243" i="9"/>
  <c r="AF243" i="9" s="1"/>
  <c r="K243" i="9"/>
  <c r="O243" i="9"/>
  <c r="S243" i="9"/>
  <c r="W243" i="9"/>
  <c r="AA243" i="9"/>
  <c r="AE243" i="9"/>
  <c r="G244" i="9"/>
  <c r="AF244" i="9" s="1"/>
  <c r="K244" i="9"/>
  <c r="O244" i="9"/>
  <c r="S244" i="9"/>
  <c r="W244" i="9"/>
  <c r="AA244" i="9"/>
  <c r="AE244" i="9"/>
  <c r="D245" i="9"/>
  <c r="E245" i="9"/>
  <c r="F245" i="9"/>
  <c r="H245" i="9"/>
  <c r="I245" i="9"/>
  <c r="J245" i="9"/>
  <c r="L245" i="9"/>
  <c r="M245" i="9"/>
  <c r="N245" i="9"/>
  <c r="P245" i="9"/>
  <c r="Q245" i="9"/>
  <c r="R245" i="9"/>
  <c r="S245" i="9"/>
  <c r="T245" i="9"/>
  <c r="U245" i="9"/>
  <c r="V245" i="9"/>
  <c r="X245" i="9"/>
  <c r="Y245" i="9"/>
  <c r="Z245" i="9"/>
  <c r="AB245" i="9"/>
  <c r="AC245" i="9"/>
  <c r="AD245" i="9"/>
  <c r="G246" i="9"/>
  <c r="K246" i="9"/>
  <c r="K250" i="9" s="1"/>
  <c r="O246" i="9"/>
  <c r="S246" i="9"/>
  <c r="W246" i="9"/>
  <c r="W250" i="9" s="1"/>
  <c r="AA246" i="9"/>
  <c r="AE246" i="9"/>
  <c r="G247" i="9"/>
  <c r="K247" i="9"/>
  <c r="O247" i="9"/>
  <c r="S247" i="9"/>
  <c r="W247" i="9"/>
  <c r="AA247" i="9"/>
  <c r="AE247" i="9"/>
  <c r="G248" i="9"/>
  <c r="K248" i="9"/>
  <c r="O248" i="9"/>
  <c r="S248" i="9"/>
  <c r="W248" i="9"/>
  <c r="AA248" i="9"/>
  <c r="AE248" i="9"/>
  <c r="G249" i="9"/>
  <c r="K249" i="9"/>
  <c r="O249" i="9"/>
  <c r="S249" i="9"/>
  <c r="S250" i="9" s="1"/>
  <c r="W249" i="9"/>
  <c r="AA249" i="9"/>
  <c r="AE249" i="9"/>
  <c r="D250" i="9"/>
  <c r="E250" i="9"/>
  <c r="F250" i="9"/>
  <c r="H250" i="9"/>
  <c r="I250" i="9"/>
  <c r="J250" i="9"/>
  <c r="L250" i="9"/>
  <c r="M250" i="9"/>
  <c r="N250" i="9"/>
  <c r="P250" i="9"/>
  <c r="Q250" i="9"/>
  <c r="R250" i="9"/>
  <c r="T250" i="9"/>
  <c r="U250" i="9"/>
  <c r="V250" i="9"/>
  <c r="X250" i="9"/>
  <c r="Y250" i="9"/>
  <c r="Z250" i="9"/>
  <c r="AA250" i="9"/>
  <c r="AB250" i="9"/>
  <c r="AC250" i="9"/>
  <c r="AD250" i="9"/>
  <c r="G251" i="9"/>
  <c r="G255" i="9" s="1"/>
  <c r="K251" i="9"/>
  <c r="O251" i="9"/>
  <c r="S251" i="9"/>
  <c r="W251" i="9"/>
  <c r="W255" i="9" s="1"/>
  <c r="AA251" i="9"/>
  <c r="AE251" i="9"/>
  <c r="G252" i="9"/>
  <c r="K252" i="9"/>
  <c r="O252" i="9"/>
  <c r="O255" i="9" s="1"/>
  <c r="S252" i="9"/>
  <c r="W252" i="9"/>
  <c r="AA252" i="9"/>
  <c r="AE252" i="9"/>
  <c r="G253" i="9"/>
  <c r="K253" i="9"/>
  <c r="O253" i="9"/>
  <c r="S253" i="9"/>
  <c r="S255" i="9" s="1"/>
  <c r="W253" i="9"/>
  <c r="AA253" i="9"/>
  <c r="AE253" i="9"/>
  <c r="AE255" i="9" s="1"/>
  <c r="G254" i="9"/>
  <c r="K254" i="9"/>
  <c r="O254" i="9"/>
  <c r="S254" i="9"/>
  <c r="W254" i="9"/>
  <c r="AA254" i="9"/>
  <c r="AE254" i="9"/>
  <c r="D255" i="9"/>
  <c r="E255" i="9"/>
  <c r="F255" i="9"/>
  <c r="H255" i="9"/>
  <c r="I255" i="9"/>
  <c r="J255" i="9"/>
  <c r="L255" i="9"/>
  <c r="M255" i="9"/>
  <c r="N255" i="9"/>
  <c r="P255" i="9"/>
  <c r="Q255" i="9"/>
  <c r="R255" i="9"/>
  <c r="T255" i="9"/>
  <c r="U255" i="9"/>
  <c r="V255" i="9"/>
  <c r="X255" i="9"/>
  <c r="Y255" i="9"/>
  <c r="Z255" i="9"/>
  <c r="AB255" i="9"/>
  <c r="AC255" i="9"/>
  <c r="AD255" i="9"/>
  <c r="G256" i="9"/>
  <c r="K256" i="9"/>
  <c r="O256" i="9"/>
  <c r="S256" i="9"/>
  <c r="S260" i="9" s="1"/>
  <c r="W256" i="9"/>
  <c r="AA256" i="9"/>
  <c r="AE256" i="9"/>
  <c r="G257" i="9"/>
  <c r="K257" i="9"/>
  <c r="O257" i="9"/>
  <c r="S257" i="9"/>
  <c r="W257" i="9"/>
  <c r="AA257" i="9"/>
  <c r="AE257" i="9"/>
  <c r="G258" i="9"/>
  <c r="K258" i="9"/>
  <c r="O258" i="9"/>
  <c r="S258" i="9"/>
  <c r="W258" i="9"/>
  <c r="AA258" i="9"/>
  <c r="AE258" i="9"/>
  <c r="G259" i="9"/>
  <c r="K259" i="9"/>
  <c r="O259" i="9"/>
  <c r="S259" i="9"/>
  <c r="W259" i="9"/>
  <c r="AA259" i="9"/>
  <c r="AE259" i="9"/>
  <c r="D260" i="9"/>
  <c r="E260" i="9"/>
  <c r="F260" i="9"/>
  <c r="F266" i="9" s="1"/>
  <c r="H260" i="9"/>
  <c r="H266" i="9" s="1"/>
  <c r="I260" i="9"/>
  <c r="J260" i="9"/>
  <c r="L260" i="9"/>
  <c r="M260" i="9"/>
  <c r="N260" i="9"/>
  <c r="P260" i="9"/>
  <c r="Q260" i="9"/>
  <c r="R260" i="9"/>
  <c r="T260" i="9"/>
  <c r="U260" i="9"/>
  <c r="V260" i="9"/>
  <c r="X260" i="9"/>
  <c r="Y260" i="9"/>
  <c r="Z260" i="9"/>
  <c r="AB260" i="9"/>
  <c r="AC260" i="9"/>
  <c r="AD260" i="9"/>
  <c r="G261" i="9"/>
  <c r="K261" i="9"/>
  <c r="O261" i="9"/>
  <c r="S261" i="9"/>
  <c r="W261" i="9"/>
  <c r="W265" i="9" s="1"/>
  <c r="AA261" i="9"/>
  <c r="AE261" i="9"/>
  <c r="AE265" i="9" s="1"/>
  <c r="G262" i="9"/>
  <c r="K262" i="9"/>
  <c r="O262" i="9"/>
  <c r="S262" i="9"/>
  <c r="W262" i="9"/>
  <c r="AA262" i="9"/>
  <c r="AE262" i="9"/>
  <c r="G263" i="9"/>
  <c r="K263" i="9"/>
  <c r="O263" i="9"/>
  <c r="O265" i="9" s="1"/>
  <c r="S263" i="9"/>
  <c r="W263" i="9"/>
  <c r="AA263" i="9"/>
  <c r="AE263" i="9"/>
  <c r="G264" i="9"/>
  <c r="K264" i="9"/>
  <c r="O264" i="9"/>
  <c r="S264" i="9"/>
  <c r="S265" i="9" s="1"/>
  <c r="S266" i="9" s="1"/>
  <c r="W264" i="9"/>
  <c r="AA264" i="9"/>
  <c r="AE264" i="9"/>
  <c r="D265" i="9"/>
  <c r="E265" i="9"/>
  <c r="F265" i="9"/>
  <c r="H265" i="9"/>
  <c r="I265" i="9"/>
  <c r="I266" i="9" s="1"/>
  <c r="J265" i="9"/>
  <c r="L265" i="9"/>
  <c r="M265" i="9"/>
  <c r="N265" i="9"/>
  <c r="P265" i="9"/>
  <c r="Q265" i="9"/>
  <c r="R265" i="9"/>
  <c r="T265" i="9"/>
  <c r="U265" i="9"/>
  <c r="V265" i="9"/>
  <c r="V266" i="9" s="1"/>
  <c r="X265" i="9"/>
  <c r="X266" i="9" s="1"/>
  <c r="Y265" i="9"/>
  <c r="Z265" i="9"/>
  <c r="AB265" i="9"/>
  <c r="AB266" i="9" s="1"/>
  <c r="AC265" i="9"/>
  <c r="AC266" i="9" s="1"/>
  <c r="AD265" i="9"/>
  <c r="D266" i="9"/>
  <c r="N266" i="9"/>
  <c r="Z266" i="9"/>
  <c r="G267" i="9"/>
  <c r="K267" i="9"/>
  <c r="O267" i="9"/>
  <c r="S267" i="9"/>
  <c r="W267" i="9"/>
  <c r="AA267" i="9"/>
  <c r="AE267" i="9"/>
  <c r="AF267" i="9"/>
  <c r="G268" i="9"/>
  <c r="K268" i="9"/>
  <c r="O268" i="9"/>
  <c r="S268" i="9"/>
  <c r="W268" i="9"/>
  <c r="AA268" i="9"/>
  <c r="AE268" i="9"/>
  <c r="AF268" i="9"/>
  <c r="G269" i="9"/>
  <c r="K269" i="9"/>
  <c r="O269" i="9"/>
  <c r="S269" i="9"/>
  <c r="W269" i="9"/>
  <c r="AA269" i="9"/>
  <c r="AE269" i="9"/>
  <c r="AF269" i="9"/>
  <c r="G270" i="9"/>
  <c r="K270" i="9"/>
  <c r="O270" i="9"/>
  <c r="S270" i="9"/>
  <c r="W270" i="9"/>
  <c r="AA270" i="9"/>
  <c r="AE270" i="9"/>
  <c r="AF270" i="9"/>
  <c r="D271" i="9"/>
  <c r="E271" i="9"/>
  <c r="F271" i="9"/>
  <c r="G271" i="9"/>
  <c r="H271" i="9"/>
  <c r="I271" i="9"/>
  <c r="J271" i="9"/>
  <c r="K271" i="9"/>
  <c r="L271" i="9"/>
  <c r="M271" i="9"/>
  <c r="N271" i="9"/>
  <c r="O271" i="9"/>
  <c r="P271" i="9"/>
  <c r="Q271" i="9"/>
  <c r="R271" i="9"/>
  <c r="S271" i="9"/>
  <c r="T271" i="9"/>
  <c r="U271" i="9"/>
  <c r="V271" i="9"/>
  <c r="W271" i="9"/>
  <c r="X271" i="9"/>
  <c r="Y271" i="9"/>
  <c r="Z271" i="9"/>
  <c r="AA271" i="9"/>
  <c r="AB271" i="9"/>
  <c r="AC271" i="9"/>
  <c r="AD271" i="9"/>
  <c r="AE271" i="9"/>
  <c r="G272" i="9"/>
  <c r="K272" i="9"/>
  <c r="O272" i="9"/>
  <c r="S272" i="9"/>
  <c r="S276" i="9" s="1"/>
  <c r="W272" i="9"/>
  <c r="AA272" i="9"/>
  <c r="AE272" i="9"/>
  <c r="G273" i="9"/>
  <c r="K273" i="9"/>
  <c r="O273" i="9"/>
  <c r="S273" i="9"/>
  <c r="W273" i="9"/>
  <c r="AA273" i="9"/>
  <c r="AE273" i="9"/>
  <c r="G274" i="9"/>
  <c r="K274" i="9"/>
  <c r="O274" i="9"/>
  <c r="S274" i="9"/>
  <c r="W274" i="9"/>
  <c r="AA274" i="9"/>
  <c r="AE274" i="9"/>
  <c r="G275" i="9"/>
  <c r="K275" i="9"/>
  <c r="O275" i="9"/>
  <c r="S275" i="9"/>
  <c r="W275" i="9"/>
  <c r="AA275" i="9"/>
  <c r="AE275" i="9"/>
  <c r="D276" i="9"/>
  <c r="D277" i="9" s="1"/>
  <c r="E276" i="9"/>
  <c r="E277" i="9" s="1"/>
  <c r="F276" i="9"/>
  <c r="F277" i="9" s="1"/>
  <c r="H276" i="9"/>
  <c r="H277" i="9" s="1"/>
  <c r="I276" i="9"/>
  <c r="J276" i="9"/>
  <c r="J277" i="9" s="1"/>
  <c r="L276" i="9"/>
  <c r="M276" i="9"/>
  <c r="M277" i="9" s="1"/>
  <c r="N276" i="9"/>
  <c r="P276" i="9"/>
  <c r="Q276" i="9"/>
  <c r="R276" i="9"/>
  <c r="R277" i="9" s="1"/>
  <c r="T276" i="9"/>
  <c r="T277" i="9" s="1"/>
  <c r="U276" i="9"/>
  <c r="V276" i="9"/>
  <c r="V277" i="9" s="1"/>
  <c r="X276" i="9"/>
  <c r="Y276" i="9"/>
  <c r="Z276" i="9"/>
  <c r="Z277" i="9" s="1"/>
  <c r="AB276" i="9"/>
  <c r="AB277" i="9" s="1"/>
  <c r="AC276" i="9"/>
  <c r="AC277" i="9" s="1"/>
  <c r="AD276" i="9"/>
  <c r="AD277" i="9" s="1"/>
  <c r="I277" i="9"/>
  <c r="L277" i="9"/>
  <c r="Q277" i="9"/>
  <c r="X277" i="9"/>
  <c r="Y277" i="9"/>
  <c r="G278" i="9"/>
  <c r="K278" i="9"/>
  <c r="K282" i="9" s="1"/>
  <c r="O278" i="9"/>
  <c r="S278" i="9"/>
  <c r="W278" i="9"/>
  <c r="AA278" i="9"/>
  <c r="AA282" i="9" s="1"/>
  <c r="AE278" i="9"/>
  <c r="G279" i="9"/>
  <c r="K279" i="9"/>
  <c r="O279" i="9"/>
  <c r="S279" i="9"/>
  <c r="W279" i="9"/>
  <c r="AA279" i="9"/>
  <c r="AE279" i="9"/>
  <c r="G280" i="9"/>
  <c r="K280" i="9"/>
  <c r="O280" i="9"/>
  <c r="S280" i="9"/>
  <c r="S282" i="9" s="1"/>
  <c r="W280" i="9"/>
  <c r="AA280" i="9"/>
  <c r="AE280" i="9"/>
  <c r="G281" i="9"/>
  <c r="K281" i="9"/>
  <c r="O281" i="9"/>
  <c r="S281" i="9"/>
  <c r="W281" i="9"/>
  <c r="AA281" i="9"/>
  <c r="AE281" i="9"/>
  <c r="D282" i="9"/>
  <c r="E282" i="9"/>
  <c r="F282" i="9"/>
  <c r="H282" i="9"/>
  <c r="I282" i="9"/>
  <c r="J282" i="9"/>
  <c r="L282" i="9"/>
  <c r="M282" i="9"/>
  <c r="N282" i="9"/>
  <c r="P282" i="9"/>
  <c r="Q282" i="9"/>
  <c r="R282" i="9"/>
  <c r="T282" i="9"/>
  <c r="U282" i="9"/>
  <c r="V282" i="9"/>
  <c r="X282" i="9"/>
  <c r="Y282" i="9"/>
  <c r="Z282" i="9"/>
  <c r="AB282" i="9"/>
  <c r="AC282" i="9"/>
  <c r="AD282" i="9"/>
  <c r="G283" i="9"/>
  <c r="K283" i="9"/>
  <c r="O283" i="9"/>
  <c r="S283" i="9"/>
  <c r="W283" i="9"/>
  <c r="AA283" i="9"/>
  <c r="AE283" i="9"/>
  <c r="G284" i="9"/>
  <c r="K284" i="9"/>
  <c r="O284" i="9"/>
  <c r="O287" i="9" s="1"/>
  <c r="S284" i="9"/>
  <c r="W284" i="9"/>
  <c r="AA284" i="9"/>
  <c r="AE284" i="9"/>
  <c r="G285" i="9"/>
  <c r="G287" i="9" s="1"/>
  <c r="K285" i="9"/>
  <c r="O285" i="9"/>
  <c r="S285" i="9"/>
  <c r="S287" i="9" s="1"/>
  <c r="W285" i="9"/>
  <c r="AA285" i="9"/>
  <c r="AE285" i="9"/>
  <c r="G286" i="9"/>
  <c r="K286" i="9"/>
  <c r="O286" i="9"/>
  <c r="S286" i="9"/>
  <c r="W286" i="9"/>
  <c r="W287" i="9" s="1"/>
  <c r="AA286" i="9"/>
  <c r="AE286" i="9"/>
  <c r="D287" i="9"/>
  <c r="E287" i="9"/>
  <c r="F287" i="9"/>
  <c r="H287" i="9"/>
  <c r="I287" i="9"/>
  <c r="J287" i="9"/>
  <c r="L287" i="9"/>
  <c r="M287" i="9"/>
  <c r="N287" i="9"/>
  <c r="P287" i="9"/>
  <c r="Q287" i="9"/>
  <c r="R287" i="9"/>
  <c r="T287" i="9"/>
  <c r="U287" i="9"/>
  <c r="V287" i="9"/>
  <c r="X287" i="9"/>
  <c r="Y287" i="9"/>
  <c r="Z287" i="9"/>
  <c r="AB287" i="9"/>
  <c r="AC287" i="9"/>
  <c r="AD287" i="9"/>
  <c r="AE287" i="9"/>
  <c r="G288" i="9"/>
  <c r="K288" i="9"/>
  <c r="O288" i="9"/>
  <c r="S288" i="9"/>
  <c r="S292" i="9" s="1"/>
  <c r="W288" i="9"/>
  <c r="AA288" i="9"/>
  <c r="AE288" i="9"/>
  <c r="G289" i="9"/>
  <c r="K289" i="9"/>
  <c r="O289" i="9"/>
  <c r="S289" i="9"/>
  <c r="W289" i="9"/>
  <c r="AA289" i="9"/>
  <c r="AE289" i="9"/>
  <c r="G290" i="9"/>
  <c r="K290" i="9"/>
  <c r="O290" i="9"/>
  <c r="S290" i="9"/>
  <c r="W290" i="9"/>
  <c r="AA290" i="9"/>
  <c r="AE290" i="9"/>
  <c r="G291" i="9"/>
  <c r="K291" i="9"/>
  <c r="O291" i="9"/>
  <c r="S291" i="9"/>
  <c r="W291" i="9"/>
  <c r="AA291" i="9"/>
  <c r="AE291" i="9"/>
  <c r="D292" i="9"/>
  <c r="E292" i="9"/>
  <c r="F292" i="9"/>
  <c r="H292" i="9"/>
  <c r="I292" i="9"/>
  <c r="J292" i="9"/>
  <c r="L292" i="9"/>
  <c r="M292" i="9"/>
  <c r="N292" i="9"/>
  <c r="P292" i="9"/>
  <c r="Q292" i="9"/>
  <c r="R292" i="9"/>
  <c r="T292" i="9"/>
  <c r="U292" i="9"/>
  <c r="V292" i="9"/>
  <c r="X292" i="9"/>
  <c r="Y292" i="9"/>
  <c r="Z292" i="9"/>
  <c r="AB292" i="9"/>
  <c r="AC292" i="9"/>
  <c r="AD292" i="9"/>
  <c r="G293" i="9"/>
  <c r="K293" i="9"/>
  <c r="K297" i="9" s="1"/>
  <c r="O293" i="9"/>
  <c r="S293" i="9"/>
  <c r="W293" i="9"/>
  <c r="AA293" i="9"/>
  <c r="AA297" i="9" s="1"/>
  <c r="AE293" i="9"/>
  <c r="G294" i="9"/>
  <c r="K294" i="9"/>
  <c r="O294" i="9"/>
  <c r="S294" i="9"/>
  <c r="W294" i="9"/>
  <c r="AA294" i="9"/>
  <c r="AE294" i="9"/>
  <c r="G295" i="9"/>
  <c r="K295" i="9"/>
  <c r="O295" i="9"/>
  <c r="S295" i="9"/>
  <c r="W295" i="9"/>
  <c r="AA295" i="9"/>
  <c r="AE295" i="9"/>
  <c r="G296" i="9"/>
  <c r="K296" i="9"/>
  <c r="O296" i="9"/>
  <c r="S296" i="9"/>
  <c r="W296" i="9"/>
  <c r="AA296" i="9"/>
  <c r="AE296" i="9"/>
  <c r="D297" i="9"/>
  <c r="E297" i="9"/>
  <c r="F297" i="9"/>
  <c r="H297" i="9"/>
  <c r="I297" i="9"/>
  <c r="J297" i="9"/>
  <c r="L297" i="9"/>
  <c r="M297" i="9"/>
  <c r="N297" i="9"/>
  <c r="O297" i="9"/>
  <c r="P297" i="9"/>
  <c r="Q297" i="9"/>
  <c r="R297" i="9"/>
  <c r="S297" i="9"/>
  <c r="T297" i="9"/>
  <c r="U297" i="9"/>
  <c r="V297" i="9"/>
  <c r="X297" i="9"/>
  <c r="Y297" i="9"/>
  <c r="Z297" i="9"/>
  <c r="AB297" i="9"/>
  <c r="AC297" i="9"/>
  <c r="AD297" i="9"/>
  <c r="G298" i="9"/>
  <c r="K298" i="9"/>
  <c r="O298" i="9"/>
  <c r="S298" i="9"/>
  <c r="W298" i="9"/>
  <c r="AA298" i="9"/>
  <c r="AA302" i="9" s="1"/>
  <c r="AE298" i="9"/>
  <c r="G299" i="9"/>
  <c r="K299" i="9"/>
  <c r="O299" i="9"/>
  <c r="S299" i="9"/>
  <c r="W299" i="9"/>
  <c r="AA299" i="9"/>
  <c r="AE299" i="9"/>
  <c r="G300" i="9"/>
  <c r="K300" i="9"/>
  <c r="O300" i="9"/>
  <c r="S300" i="9"/>
  <c r="W300" i="9"/>
  <c r="AA300" i="9"/>
  <c r="AE300" i="9"/>
  <c r="G301" i="9"/>
  <c r="K301" i="9"/>
  <c r="O301" i="9"/>
  <c r="S301" i="9"/>
  <c r="W301" i="9"/>
  <c r="AA301" i="9"/>
  <c r="AE301" i="9"/>
  <c r="D302" i="9"/>
  <c r="E302" i="9"/>
  <c r="F302" i="9"/>
  <c r="G302" i="9"/>
  <c r="H302" i="9"/>
  <c r="I302" i="9"/>
  <c r="J302" i="9"/>
  <c r="L302" i="9"/>
  <c r="M302" i="9"/>
  <c r="N302" i="9"/>
  <c r="P302" i="9"/>
  <c r="Q302" i="9"/>
  <c r="R302" i="9"/>
  <c r="S302" i="9"/>
  <c r="T302" i="9"/>
  <c r="U302" i="9"/>
  <c r="V302" i="9"/>
  <c r="W302" i="9"/>
  <c r="X302" i="9"/>
  <c r="Y302" i="9"/>
  <c r="Z302" i="9"/>
  <c r="AB302" i="9"/>
  <c r="AC302" i="9"/>
  <c r="AD302" i="9"/>
  <c r="G303" i="9"/>
  <c r="K303" i="9"/>
  <c r="K307" i="9" s="1"/>
  <c r="O303" i="9"/>
  <c r="S303" i="9"/>
  <c r="W303" i="9"/>
  <c r="AA303" i="9"/>
  <c r="AA307" i="9" s="1"/>
  <c r="AE303" i="9"/>
  <c r="G304" i="9"/>
  <c r="K304" i="9"/>
  <c r="O304" i="9"/>
  <c r="S304" i="9"/>
  <c r="S307" i="9" s="1"/>
  <c r="W304" i="9"/>
  <c r="AA304" i="9"/>
  <c r="AE304" i="9"/>
  <c r="AE307" i="9" s="1"/>
  <c r="G305" i="9"/>
  <c r="K305" i="9"/>
  <c r="O305" i="9"/>
  <c r="S305" i="9"/>
  <c r="W305" i="9"/>
  <c r="W307" i="9" s="1"/>
  <c r="AA305" i="9"/>
  <c r="AE305" i="9"/>
  <c r="G306" i="9"/>
  <c r="K306" i="9"/>
  <c r="O306" i="9"/>
  <c r="S306" i="9"/>
  <c r="W306" i="9"/>
  <c r="AA306" i="9"/>
  <c r="AE306" i="9"/>
  <c r="D307" i="9"/>
  <c r="E307" i="9"/>
  <c r="F307" i="9"/>
  <c r="H307" i="9"/>
  <c r="I307" i="9"/>
  <c r="J307" i="9"/>
  <c r="L307" i="9"/>
  <c r="M307" i="9"/>
  <c r="N307" i="9"/>
  <c r="P307" i="9"/>
  <c r="Q307" i="9"/>
  <c r="R307" i="9"/>
  <c r="T307" i="9"/>
  <c r="U307" i="9"/>
  <c r="V307" i="9"/>
  <c r="X307" i="9"/>
  <c r="Y307" i="9"/>
  <c r="Z307" i="9"/>
  <c r="AB307" i="9"/>
  <c r="AC307" i="9"/>
  <c r="AD307" i="9"/>
  <c r="G308" i="9"/>
  <c r="K308" i="9"/>
  <c r="K312" i="9" s="1"/>
  <c r="O308" i="9"/>
  <c r="S308" i="9"/>
  <c r="S312" i="9" s="1"/>
  <c r="W308" i="9"/>
  <c r="AA308" i="9"/>
  <c r="AE308" i="9"/>
  <c r="G309" i="9"/>
  <c r="K309" i="9"/>
  <c r="O309" i="9"/>
  <c r="O312" i="9" s="1"/>
  <c r="S309" i="9"/>
  <c r="W309" i="9"/>
  <c r="AA309" i="9"/>
  <c r="AE309" i="9"/>
  <c r="G310" i="9"/>
  <c r="K310" i="9"/>
  <c r="O310" i="9"/>
  <c r="S310" i="9"/>
  <c r="W310" i="9"/>
  <c r="AA310" i="9"/>
  <c r="AE310" i="9"/>
  <c r="G311" i="9"/>
  <c r="K311" i="9"/>
  <c r="O311" i="9"/>
  <c r="S311" i="9"/>
  <c r="W311" i="9"/>
  <c r="AA311" i="9"/>
  <c r="AE311" i="9"/>
  <c r="D312" i="9"/>
  <c r="E312" i="9"/>
  <c r="F312" i="9"/>
  <c r="H312" i="9"/>
  <c r="I312" i="9"/>
  <c r="J312" i="9"/>
  <c r="L312" i="9"/>
  <c r="M312" i="9"/>
  <c r="N312" i="9"/>
  <c r="P312" i="9"/>
  <c r="Q312" i="9"/>
  <c r="R312" i="9"/>
  <c r="T312" i="9"/>
  <c r="U312" i="9"/>
  <c r="V312" i="9"/>
  <c r="X312" i="9"/>
  <c r="Y312" i="9"/>
  <c r="Z312" i="9"/>
  <c r="AB312" i="9"/>
  <c r="AC312" i="9"/>
  <c r="AD312" i="9"/>
  <c r="G313" i="9"/>
  <c r="K313" i="9"/>
  <c r="O313" i="9"/>
  <c r="S313" i="9"/>
  <c r="W313" i="9"/>
  <c r="AA313" i="9"/>
  <c r="AE313" i="9"/>
  <c r="G314" i="9"/>
  <c r="K314" i="9"/>
  <c r="O314" i="9"/>
  <c r="S314" i="9"/>
  <c r="W314" i="9"/>
  <c r="AA314" i="9"/>
  <c r="AE314" i="9"/>
  <c r="G315" i="9"/>
  <c r="K315" i="9"/>
  <c r="O315" i="9"/>
  <c r="S315" i="9"/>
  <c r="W315" i="9"/>
  <c r="AA315" i="9"/>
  <c r="AE315" i="9"/>
  <c r="G316" i="9"/>
  <c r="K316" i="9"/>
  <c r="O316" i="9"/>
  <c r="S316" i="9"/>
  <c r="W316" i="9"/>
  <c r="AA316" i="9"/>
  <c r="AE316" i="9"/>
  <c r="D317" i="9"/>
  <c r="E317" i="9"/>
  <c r="F317" i="9"/>
  <c r="G317" i="9"/>
  <c r="H317" i="9"/>
  <c r="I317" i="9"/>
  <c r="J317" i="9"/>
  <c r="L317" i="9"/>
  <c r="M317" i="9"/>
  <c r="N317" i="9"/>
  <c r="P317" i="9"/>
  <c r="Q317" i="9"/>
  <c r="R317" i="9"/>
  <c r="S317" i="9"/>
  <c r="T317" i="9"/>
  <c r="U317" i="9"/>
  <c r="V317" i="9"/>
  <c r="W317" i="9"/>
  <c r="X317" i="9"/>
  <c r="Y317" i="9"/>
  <c r="Z317" i="9"/>
  <c r="AB317" i="9"/>
  <c r="AC317" i="9"/>
  <c r="AD317" i="9"/>
  <c r="G318" i="9"/>
  <c r="K318" i="9"/>
  <c r="K322" i="9" s="1"/>
  <c r="O318" i="9"/>
  <c r="S318" i="9"/>
  <c r="W318" i="9"/>
  <c r="AA318" i="9"/>
  <c r="AA322" i="9" s="1"/>
  <c r="AE318" i="9"/>
  <c r="G319" i="9"/>
  <c r="K319" i="9"/>
  <c r="O319" i="9"/>
  <c r="S319" i="9"/>
  <c r="W319" i="9"/>
  <c r="AA319" i="9"/>
  <c r="AE319" i="9"/>
  <c r="G320" i="9"/>
  <c r="K320" i="9"/>
  <c r="O320" i="9"/>
  <c r="S320" i="9"/>
  <c r="W320" i="9"/>
  <c r="AA320" i="9"/>
  <c r="AE320" i="9"/>
  <c r="G321" i="9"/>
  <c r="K321" i="9"/>
  <c r="O321" i="9"/>
  <c r="S321" i="9"/>
  <c r="W321" i="9"/>
  <c r="AA321" i="9"/>
  <c r="AE321" i="9"/>
  <c r="D322" i="9"/>
  <c r="E322" i="9"/>
  <c r="F322" i="9"/>
  <c r="H322" i="9"/>
  <c r="I322" i="9"/>
  <c r="J322" i="9"/>
  <c r="L322" i="9"/>
  <c r="M322" i="9"/>
  <c r="N322" i="9"/>
  <c r="P322" i="9"/>
  <c r="Q322" i="9"/>
  <c r="R322" i="9"/>
  <c r="T322" i="9"/>
  <c r="U322" i="9"/>
  <c r="V322" i="9"/>
  <c r="X322" i="9"/>
  <c r="Y322" i="9"/>
  <c r="Z322" i="9"/>
  <c r="AB322" i="9"/>
  <c r="AC322" i="9"/>
  <c r="AD322" i="9"/>
  <c r="G323" i="9"/>
  <c r="K323" i="9"/>
  <c r="O323" i="9"/>
  <c r="S323" i="9"/>
  <c r="S327" i="9" s="1"/>
  <c r="W323" i="9"/>
  <c r="AA323" i="9"/>
  <c r="AE323" i="9"/>
  <c r="G324" i="9"/>
  <c r="K324" i="9"/>
  <c r="O324" i="9"/>
  <c r="S324" i="9"/>
  <c r="W324" i="9"/>
  <c r="AA324" i="9"/>
  <c r="AE324" i="9"/>
  <c r="G325" i="9"/>
  <c r="K325" i="9"/>
  <c r="O325" i="9"/>
  <c r="S325" i="9"/>
  <c r="W325" i="9"/>
  <c r="AA325" i="9"/>
  <c r="AE325" i="9"/>
  <c r="G326" i="9"/>
  <c r="K326" i="9"/>
  <c r="O326" i="9"/>
  <c r="S326" i="9"/>
  <c r="W326" i="9"/>
  <c r="AA326" i="9"/>
  <c r="AE326" i="9"/>
  <c r="D327" i="9"/>
  <c r="E327" i="9"/>
  <c r="F327" i="9"/>
  <c r="G327" i="9"/>
  <c r="H327" i="9"/>
  <c r="I327" i="9"/>
  <c r="J327" i="9"/>
  <c r="L327" i="9"/>
  <c r="M327" i="9"/>
  <c r="N327" i="9"/>
  <c r="P327" i="9"/>
  <c r="Q327" i="9"/>
  <c r="R327" i="9"/>
  <c r="T327" i="9"/>
  <c r="U327" i="9"/>
  <c r="V327" i="9"/>
  <c r="X327" i="9"/>
  <c r="Y327" i="9"/>
  <c r="Z327" i="9"/>
  <c r="AB327" i="9"/>
  <c r="AC327" i="9"/>
  <c r="AD327" i="9"/>
  <c r="G328" i="9"/>
  <c r="K328" i="9"/>
  <c r="K332" i="9" s="1"/>
  <c r="O328" i="9"/>
  <c r="S328" i="9"/>
  <c r="W328" i="9"/>
  <c r="AA328" i="9"/>
  <c r="AE328" i="9"/>
  <c r="G329" i="9"/>
  <c r="K329" i="9"/>
  <c r="O329" i="9"/>
  <c r="S329" i="9"/>
  <c r="W329" i="9"/>
  <c r="AA329" i="9"/>
  <c r="AE329" i="9"/>
  <c r="G330" i="9"/>
  <c r="K330" i="9"/>
  <c r="O330" i="9"/>
  <c r="S330" i="9"/>
  <c r="W330" i="9"/>
  <c r="AA330" i="9"/>
  <c r="AE330" i="9"/>
  <c r="G331" i="9"/>
  <c r="K331" i="9"/>
  <c r="O331" i="9"/>
  <c r="S331" i="9"/>
  <c r="W331" i="9"/>
  <c r="AA331" i="9"/>
  <c r="AE331" i="9"/>
  <c r="D332" i="9"/>
  <c r="E332" i="9"/>
  <c r="F332" i="9"/>
  <c r="H332" i="9"/>
  <c r="I332" i="9"/>
  <c r="J332" i="9"/>
  <c r="L332" i="9"/>
  <c r="M332" i="9"/>
  <c r="N332" i="9"/>
  <c r="P332" i="9"/>
  <c r="Q332" i="9"/>
  <c r="R332" i="9"/>
  <c r="S332" i="9"/>
  <c r="T332" i="9"/>
  <c r="U332" i="9"/>
  <c r="V332" i="9"/>
  <c r="W332" i="9"/>
  <c r="X332" i="9"/>
  <c r="Y332" i="9"/>
  <c r="Z332" i="9"/>
  <c r="AA332" i="9"/>
  <c r="AB332" i="9"/>
  <c r="AC332" i="9"/>
  <c r="AD332" i="9"/>
  <c r="G333" i="9"/>
  <c r="G337" i="9" s="1"/>
  <c r="K333" i="9"/>
  <c r="O333" i="9"/>
  <c r="S333" i="9"/>
  <c r="W333" i="9"/>
  <c r="W337" i="9" s="1"/>
  <c r="AA333" i="9"/>
  <c r="AE333" i="9"/>
  <c r="G334" i="9"/>
  <c r="K334" i="9"/>
  <c r="O334" i="9"/>
  <c r="S334" i="9"/>
  <c r="W334" i="9"/>
  <c r="AA334" i="9"/>
  <c r="AE334" i="9"/>
  <c r="G335" i="9"/>
  <c r="K335" i="9"/>
  <c r="O335" i="9"/>
  <c r="S335" i="9"/>
  <c r="W335" i="9"/>
  <c r="AA335" i="9"/>
  <c r="AE335" i="9"/>
  <c r="G336" i="9"/>
  <c r="K336" i="9"/>
  <c r="O336" i="9"/>
  <c r="S336" i="9"/>
  <c r="S337" i="9" s="1"/>
  <c r="W336" i="9"/>
  <c r="AA336" i="9"/>
  <c r="AE336" i="9"/>
  <c r="D337" i="9"/>
  <c r="E337" i="9"/>
  <c r="F337" i="9"/>
  <c r="H337" i="9"/>
  <c r="I337" i="9"/>
  <c r="J337" i="9"/>
  <c r="L337" i="9"/>
  <c r="M337" i="9"/>
  <c r="N337" i="9"/>
  <c r="P337" i="9"/>
  <c r="Q337" i="9"/>
  <c r="R337" i="9"/>
  <c r="T337" i="9"/>
  <c r="U337" i="9"/>
  <c r="V337" i="9"/>
  <c r="X337" i="9"/>
  <c r="Y337" i="9"/>
  <c r="Z337" i="9"/>
  <c r="AB337" i="9"/>
  <c r="AC337" i="9"/>
  <c r="AD337" i="9"/>
  <c r="G338" i="9"/>
  <c r="K338" i="9"/>
  <c r="O338" i="9"/>
  <c r="S338" i="9"/>
  <c r="W338" i="9"/>
  <c r="AA338" i="9"/>
  <c r="AE338" i="9"/>
  <c r="G339" i="9"/>
  <c r="K339" i="9"/>
  <c r="O339" i="9"/>
  <c r="S339" i="9"/>
  <c r="W339" i="9"/>
  <c r="AA339" i="9"/>
  <c r="AE339" i="9"/>
  <c r="G340" i="9"/>
  <c r="K340" i="9"/>
  <c r="O340" i="9"/>
  <c r="S340" i="9"/>
  <c r="W340" i="9"/>
  <c r="AA340" i="9"/>
  <c r="AE340" i="9"/>
  <c r="G341" i="9"/>
  <c r="K341" i="9"/>
  <c r="O341" i="9"/>
  <c r="S341" i="9"/>
  <c r="W341" i="9"/>
  <c r="AA341" i="9"/>
  <c r="AE341" i="9"/>
  <c r="D342" i="9"/>
  <c r="E342" i="9"/>
  <c r="F342" i="9"/>
  <c r="H342" i="9"/>
  <c r="H348" i="9" s="1"/>
  <c r="I342" i="9"/>
  <c r="J342" i="9"/>
  <c r="L342" i="9"/>
  <c r="M342" i="9"/>
  <c r="N342" i="9"/>
  <c r="N348" i="9" s="1"/>
  <c r="P342" i="9"/>
  <c r="Q342" i="9"/>
  <c r="R342" i="9"/>
  <c r="S342" i="9"/>
  <c r="T342" i="9"/>
  <c r="U342" i="9"/>
  <c r="V342" i="9"/>
  <c r="X342" i="9"/>
  <c r="X348" i="9" s="1"/>
  <c r="Y342" i="9"/>
  <c r="Z342" i="9"/>
  <c r="AB342" i="9"/>
  <c r="AC342" i="9"/>
  <c r="AD342" i="9"/>
  <c r="AD348" i="9" s="1"/>
  <c r="G343" i="9"/>
  <c r="K343" i="9"/>
  <c r="O343" i="9"/>
  <c r="S343" i="9"/>
  <c r="W343" i="9"/>
  <c r="AA343" i="9"/>
  <c r="AE343" i="9"/>
  <c r="AE347" i="9" s="1"/>
  <c r="G344" i="9"/>
  <c r="K344" i="9"/>
  <c r="O344" i="9"/>
  <c r="S344" i="9"/>
  <c r="W344" i="9"/>
  <c r="AA344" i="9"/>
  <c r="AE344" i="9"/>
  <c r="G345" i="9"/>
  <c r="G347" i="9" s="1"/>
  <c r="K345" i="9"/>
  <c r="O345" i="9"/>
  <c r="S345" i="9"/>
  <c r="W345" i="9"/>
  <c r="AA345" i="9"/>
  <c r="AE345" i="9"/>
  <c r="G346" i="9"/>
  <c r="K346" i="9"/>
  <c r="O346" i="9"/>
  <c r="S346" i="9"/>
  <c r="W346" i="9"/>
  <c r="AA346" i="9"/>
  <c r="AE346" i="9"/>
  <c r="D347" i="9"/>
  <c r="E347" i="9"/>
  <c r="F347" i="9"/>
  <c r="F348" i="9" s="1"/>
  <c r="H347" i="9"/>
  <c r="I347" i="9"/>
  <c r="J347" i="9"/>
  <c r="L347" i="9"/>
  <c r="L348" i="9" s="1"/>
  <c r="M347" i="9"/>
  <c r="N347" i="9"/>
  <c r="O347" i="9"/>
  <c r="P347" i="9"/>
  <c r="P348" i="9" s="1"/>
  <c r="Q347" i="9"/>
  <c r="Q348" i="9" s="1"/>
  <c r="R347" i="9"/>
  <c r="S347" i="9"/>
  <c r="S348" i="9" s="1"/>
  <c r="T347" i="9"/>
  <c r="U347" i="9"/>
  <c r="U348" i="9" s="1"/>
  <c r="V347" i="9"/>
  <c r="V348" i="9" s="1"/>
  <c r="W347" i="9"/>
  <c r="X347" i="9"/>
  <c r="Y347" i="9"/>
  <c r="Z347" i="9"/>
  <c r="AB347" i="9"/>
  <c r="AB348" i="9" s="1"/>
  <c r="AC347" i="9"/>
  <c r="AD347" i="9"/>
  <c r="D348" i="9"/>
  <c r="R348" i="9"/>
  <c r="Z348" i="9"/>
  <c r="G349" i="9"/>
  <c r="AF349" i="9" s="1"/>
  <c r="K349" i="9"/>
  <c r="O349" i="9"/>
  <c r="O353" i="9" s="1"/>
  <c r="S349" i="9"/>
  <c r="W349" i="9"/>
  <c r="W353" i="9" s="1"/>
  <c r="AA349" i="9"/>
  <c r="AE349" i="9"/>
  <c r="AE353" i="9" s="1"/>
  <c r="G350" i="9"/>
  <c r="AF350" i="9" s="1"/>
  <c r="K350" i="9"/>
  <c r="O350" i="9"/>
  <c r="S350" i="9"/>
  <c r="W350" i="9"/>
  <c r="AA350" i="9"/>
  <c r="AE350" i="9"/>
  <c r="G351" i="9"/>
  <c r="AF351" i="9" s="1"/>
  <c r="K351" i="9"/>
  <c r="O351" i="9"/>
  <c r="S351" i="9"/>
  <c r="W351" i="9"/>
  <c r="AA351" i="9"/>
  <c r="AE351" i="9"/>
  <c r="G352" i="9"/>
  <c r="AF352" i="9" s="1"/>
  <c r="K352" i="9"/>
  <c r="O352" i="9"/>
  <c r="S352" i="9"/>
  <c r="W352" i="9"/>
  <c r="AA352" i="9"/>
  <c r="AE352" i="9"/>
  <c r="D353" i="9"/>
  <c r="E353" i="9"/>
  <c r="F353" i="9"/>
  <c r="H353" i="9"/>
  <c r="I353" i="9"/>
  <c r="J353" i="9"/>
  <c r="K353" i="9"/>
  <c r="L353" i="9"/>
  <c r="M353" i="9"/>
  <c r="N353" i="9"/>
  <c r="P353" i="9"/>
  <c r="P359" i="9" s="1"/>
  <c r="Q353" i="9"/>
  <c r="R353" i="9"/>
  <c r="S353" i="9"/>
  <c r="T353" i="9"/>
  <c r="U353" i="9"/>
  <c r="V353" i="9"/>
  <c r="X353" i="9"/>
  <c r="Y353" i="9"/>
  <c r="Z353" i="9"/>
  <c r="AA353" i="9"/>
  <c r="AB353" i="9"/>
  <c r="AC353" i="9"/>
  <c r="AD353" i="9"/>
  <c r="G354" i="9"/>
  <c r="K354" i="9"/>
  <c r="O354" i="9"/>
  <c r="S354" i="9"/>
  <c r="W354" i="9"/>
  <c r="AA354" i="9"/>
  <c r="AE354" i="9"/>
  <c r="G355" i="9"/>
  <c r="K355" i="9"/>
  <c r="O355" i="9"/>
  <c r="S355" i="9"/>
  <c r="S358" i="9" s="1"/>
  <c r="W355" i="9"/>
  <c r="AA355" i="9"/>
  <c r="AE355" i="9"/>
  <c r="G356" i="9"/>
  <c r="K356" i="9"/>
  <c r="O356" i="9"/>
  <c r="S356" i="9"/>
  <c r="W356" i="9"/>
  <c r="AA356" i="9"/>
  <c r="AE356" i="9"/>
  <c r="G357" i="9"/>
  <c r="K357" i="9"/>
  <c r="O357" i="9"/>
  <c r="S357" i="9"/>
  <c r="W357" i="9"/>
  <c r="AA357" i="9"/>
  <c r="AE357" i="9"/>
  <c r="D358" i="9"/>
  <c r="E358" i="9"/>
  <c r="F358" i="9"/>
  <c r="H358" i="9"/>
  <c r="I358" i="9"/>
  <c r="J358" i="9"/>
  <c r="L358" i="9"/>
  <c r="L359" i="9" s="1"/>
  <c r="M358" i="9"/>
  <c r="N358" i="9"/>
  <c r="P358" i="9"/>
  <c r="Q358" i="9"/>
  <c r="R358" i="9"/>
  <c r="T358" i="9"/>
  <c r="U358" i="9"/>
  <c r="V358" i="9"/>
  <c r="X358" i="9"/>
  <c r="Y358" i="9"/>
  <c r="Z358" i="9"/>
  <c r="AB358" i="9"/>
  <c r="AC358" i="9"/>
  <c r="AC359" i="9" s="1"/>
  <c r="AD358" i="9"/>
  <c r="D359" i="9"/>
  <c r="E359" i="9"/>
  <c r="I359" i="9"/>
  <c r="T359" i="9"/>
  <c r="X359" i="9"/>
  <c r="Y359" i="9"/>
  <c r="G360" i="9"/>
  <c r="K360" i="9"/>
  <c r="K364" i="9" s="1"/>
  <c r="O360" i="9"/>
  <c r="S360" i="9"/>
  <c r="W360" i="9"/>
  <c r="AA360" i="9"/>
  <c r="AA364" i="9" s="1"/>
  <c r="AE360" i="9"/>
  <c r="G361" i="9"/>
  <c r="K361" i="9"/>
  <c r="O361" i="9"/>
  <c r="S361" i="9"/>
  <c r="S364" i="9" s="1"/>
  <c r="W361" i="9"/>
  <c r="AA361" i="9"/>
  <c r="AE361" i="9"/>
  <c r="G362" i="9"/>
  <c r="K362" i="9"/>
  <c r="O362" i="9"/>
  <c r="S362" i="9"/>
  <c r="W362" i="9"/>
  <c r="W364" i="9" s="1"/>
  <c r="AA362" i="9"/>
  <c r="AE362" i="9"/>
  <c r="G363" i="9"/>
  <c r="K363" i="9"/>
  <c r="O363" i="9"/>
  <c r="S363" i="9"/>
  <c r="W363" i="9"/>
  <c r="AA363" i="9"/>
  <c r="AE363" i="9"/>
  <c r="D364" i="9"/>
  <c r="E364" i="9"/>
  <c r="F364" i="9"/>
  <c r="H364" i="9"/>
  <c r="I364" i="9"/>
  <c r="J364" i="9"/>
  <c r="L364" i="9"/>
  <c r="M364" i="9"/>
  <c r="N364" i="9"/>
  <c r="P364" i="9"/>
  <c r="Q364" i="9"/>
  <c r="R364" i="9"/>
  <c r="T364" i="9"/>
  <c r="U364" i="9"/>
  <c r="V364" i="9"/>
  <c r="X364" i="9"/>
  <c r="Y364" i="9"/>
  <c r="Z364" i="9"/>
  <c r="AB364" i="9"/>
  <c r="AC364" i="9"/>
  <c r="AD364" i="9"/>
  <c r="G365" i="9"/>
  <c r="G369" i="9" s="1"/>
  <c r="K365" i="9"/>
  <c r="O365" i="9"/>
  <c r="O369" i="9" s="1"/>
  <c r="S365" i="9"/>
  <c r="W365" i="9"/>
  <c r="AA365" i="9"/>
  <c r="AE365" i="9"/>
  <c r="AE369" i="9" s="1"/>
  <c r="G366" i="9"/>
  <c r="K366" i="9"/>
  <c r="O366" i="9"/>
  <c r="S366" i="9"/>
  <c r="W366" i="9"/>
  <c r="AA366" i="9"/>
  <c r="AE366" i="9"/>
  <c r="G367" i="9"/>
  <c r="K367" i="9"/>
  <c r="O367" i="9"/>
  <c r="S367" i="9"/>
  <c r="W367" i="9"/>
  <c r="AA367" i="9"/>
  <c r="AE367" i="9"/>
  <c r="G368" i="9"/>
  <c r="K368" i="9"/>
  <c r="O368" i="9"/>
  <c r="S368" i="9"/>
  <c r="W368" i="9"/>
  <c r="AA368" i="9"/>
  <c r="AE368" i="9"/>
  <c r="D369" i="9"/>
  <c r="E369" i="9"/>
  <c r="F369" i="9"/>
  <c r="H369" i="9"/>
  <c r="I369" i="9"/>
  <c r="J369" i="9"/>
  <c r="L369" i="9"/>
  <c r="M369" i="9"/>
  <c r="N369" i="9"/>
  <c r="P369" i="9"/>
  <c r="Q369" i="9"/>
  <c r="R369" i="9"/>
  <c r="T369" i="9"/>
  <c r="U369" i="9"/>
  <c r="V369" i="9"/>
  <c r="X369" i="9"/>
  <c r="Y369" i="9"/>
  <c r="Z369" i="9"/>
  <c r="AB369" i="9"/>
  <c r="AC369" i="9"/>
  <c r="AD369" i="9"/>
  <c r="G370" i="9"/>
  <c r="K370" i="9"/>
  <c r="O370" i="9"/>
  <c r="S370" i="9"/>
  <c r="W370" i="9"/>
  <c r="AA370" i="9"/>
  <c r="AE370" i="9"/>
  <c r="G371" i="9"/>
  <c r="K371" i="9"/>
  <c r="O371" i="9"/>
  <c r="S371" i="9"/>
  <c r="W371" i="9"/>
  <c r="AA371" i="9"/>
  <c r="AE371" i="9"/>
  <c r="G372" i="9"/>
  <c r="K372" i="9"/>
  <c r="O372" i="9"/>
  <c r="S372" i="9"/>
  <c r="W372" i="9"/>
  <c r="AA372" i="9"/>
  <c r="AE372" i="9"/>
  <c r="G373" i="9"/>
  <c r="K373" i="9"/>
  <c r="O373" i="9"/>
  <c r="S373" i="9"/>
  <c r="W373" i="9"/>
  <c r="AA373" i="9"/>
  <c r="AE373" i="9"/>
  <c r="D374" i="9"/>
  <c r="E374" i="9"/>
  <c r="F374" i="9"/>
  <c r="H374" i="9"/>
  <c r="I374" i="9"/>
  <c r="J374" i="9"/>
  <c r="L374" i="9"/>
  <c r="M374" i="9"/>
  <c r="N374" i="9"/>
  <c r="P374" i="9"/>
  <c r="Q374" i="9"/>
  <c r="R374" i="9"/>
  <c r="S374" i="9"/>
  <c r="T374" i="9"/>
  <c r="U374" i="9"/>
  <c r="V374" i="9"/>
  <c r="X374" i="9"/>
  <c r="Y374" i="9"/>
  <c r="Z374" i="9"/>
  <c r="AB374" i="9"/>
  <c r="AC374" i="9"/>
  <c r="AD374" i="9"/>
  <c r="G375" i="9"/>
  <c r="K375" i="9"/>
  <c r="O375" i="9"/>
  <c r="S375" i="9"/>
  <c r="W375" i="9"/>
  <c r="AA375" i="9"/>
  <c r="AE375" i="9"/>
  <c r="AE379" i="9" s="1"/>
  <c r="G376" i="9"/>
  <c r="K376" i="9"/>
  <c r="O376" i="9"/>
  <c r="S376" i="9"/>
  <c r="W376" i="9"/>
  <c r="AA376" i="9"/>
  <c r="AE376" i="9"/>
  <c r="G377" i="9"/>
  <c r="K377" i="9"/>
  <c r="O377" i="9"/>
  <c r="S377" i="9"/>
  <c r="W377" i="9"/>
  <c r="AA377" i="9"/>
  <c r="AE377" i="9"/>
  <c r="G378" i="9"/>
  <c r="K378" i="9"/>
  <c r="O378" i="9"/>
  <c r="S378" i="9"/>
  <c r="W378" i="9"/>
  <c r="AA378" i="9"/>
  <c r="AE378" i="9"/>
  <c r="D379" i="9"/>
  <c r="E379" i="9"/>
  <c r="F379" i="9"/>
  <c r="H379" i="9"/>
  <c r="I379" i="9"/>
  <c r="J379" i="9"/>
  <c r="L379" i="9"/>
  <c r="M379" i="9"/>
  <c r="N379" i="9"/>
  <c r="O379" i="9"/>
  <c r="P379" i="9"/>
  <c r="Q379" i="9"/>
  <c r="R379" i="9"/>
  <c r="S379" i="9"/>
  <c r="T379" i="9"/>
  <c r="U379" i="9"/>
  <c r="V379" i="9"/>
  <c r="W379" i="9"/>
  <c r="X379" i="9"/>
  <c r="Y379" i="9"/>
  <c r="Z379" i="9"/>
  <c r="AB379" i="9"/>
  <c r="AC379" i="9"/>
  <c r="AD379" i="9"/>
  <c r="G380" i="9"/>
  <c r="K380" i="9"/>
  <c r="O380" i="9"/>
  <c r="S380" i="9"/>
  <c r="W380" i="9"/>
  <c r="W384" i="9" s="1"/>
  <c r="AA380" i="9"/>
  <c r="AE380" i="9"/>
  <c r="G381" i="9"/>
  <c r="K381" i="9"/>
  <c r="K384" i="9" s="1"/>
  <c r="O381" i="9"/>
  <c r="S381" i="9"/>
  <c r="W381" i="9"/>
  <c r="AA381" i="9"/>
  <c r="AA384" i="9" s="1"/>
  <c r="AE381" i="9"/>
  <c r="G382" i="9"/>
  <c r="K382" i="9"/>
  <c r="O382" i="9"/>
  <c r="S382" i="9"/>
  <c r="W382" i="9"/>
  <c r="AA382" i="9"/>
  <c r="AE382" i="9"/>
  <c r="G383" i="9"/>
  <c r="K383" i="9"/>
  <c r="O383" i="9"/>
  <c r="S383" i="9"/>
  <c r="W383" i="9"/>
  <c r="AA383" i="9"/>
  <c r="AE383" i="9"/>
  <c r="D384" i="9"/>
  <c r="E384" i="9"/>
  <c r="F384" i="9"/>
  <c r="H384" i="9"/>
  <c r="I384" i="9"/>
  <c r="J384" i="9"/>
  <c r="L384" i="9"/>
  <c r="M384" i="9"/>
  <c r="N384" i="9"/>
  <c r="P384" i="9"/>
  <c r="Q384" i="9"/>
  <c r="R384" i="9"/>
  <c r="T384" i="9"/>
  <c r="U384" i="9"/>
  <c r="V384" i="9"/>
  <c r="X384" i="9"/>
  <c r="Y384" i="9"/>
  <c r="Z384" i="9"/>
  <c r="AB384" i="9"/>
  <c r="AC384" i="9"/>
  <c r="AD384" i="9"/>
  <c r="G385" i="9"/>
  <c r="AF385" i="9" s="1"/>
  <c r="K385" i="9"/>
  <c r="O385" i="9"/>
  <c r="O389" i="9" s="1"/>
  <c r="S385" i="9"/>
  <c r="W385" i="9"/>
  <c r="W389" i="9" s="1"/>
  <c r="AA385" i="9"/>
  <c r="AE385" i="9"/>
  <c r="AE389" i="9" s="1"/>
  <c r="G386" i="9"/>
  <c r="AF386" i="9" s="1"/>
  <c r="K386" i="9"/>
  <c r="O386" i="9"/>
  <c r="S386" i="9"/>
  <c r="W386" i="9"/>
  <c r="AA386" i="9"/>
  <c r="AE386" i="9"/>
  <c r="G387" i="9"/>
  <c r="AF387" i="9" s="1"/>
  <c r="K387" i="9"/>
  <c r="O387" i="9"/>
  <c r="S387" i="9"/>
  <c r="W387" i="9"/>
  <c r="AA387" i="9"/>
  <c r="AE387" i="9"/>
  <c r="G388" i="9"/>
  <c r="AF388" i="9" s="1"/>
  <c r="K388" i="9"/>
  <c r="O388" i="9"/>
  <c r="S388" i="9"/>
  <c r="W388" i="9"/>
  <c r="AA388" i="9"/>
  <c r="AE388" i="9"/>
  <c r="D389" i="9"/>
  <c r="E389" i="9"/>
  <c r="F389" i="9"/>
  <c r="H389" i="9"/>
  <c r="I389" i="9"/>
  <c r="J389" i="9"/>
  <c r="K389" i="9"/>
  <c r="L389" i="9"/>
  <c r="M389" i="9"/>
  <c r="N389" i="9"/>
  <c r="P389" i="9"/>
  <c r="Q389" i="9"/>
  <c r="R389" i="9"/>
  <c r="S389" i="9"/>
  <c r="T389" i="9"/>
  <c r="U389" i="9"/>
  <c r="V389" i="9"/>
  <c r="X389" i="9"/>
  <c r="Y389" i="9"/>
  <c r="Z389" i="9"/>
  <c r="AA389" i="9"/>
  <c r="AB389" i="9"/>
  <c r="AC389" i="9"/>
  <c r="AD389" i="9"/>
  <c r="G390" i="9"/>
  <c r="K390" i="9"/>
  <c r="O390" i="9"/>
  <c r="S390" i="9"/>
  <c r="W390" i="9"/>
  <c r="AA390" i="9"/>
  <c r="AE390" i="9"/>
  <c r="G391" i="9"/>
  <c r="K391" i="9"/>
  <c r="O391" i="9"/>
  <c r="S391" i="9"/>
  <c r="S394" i="9" s="1"/>
  <c r="W391" i="9"/>
  <c r="AA391" i="9"/>
  <c r="AE391" i="9"/>
  <c r="G392" i="9"/>
  <c r="K392" i="9"/>
  <c r="O392" i="9"/>
  <c r="S392" i="9"/>
  <c r="W392" i="9"/>
  <c r="AA392" i="9"/>
  <c r="AE392" i="9"/>
  <c r="G393" i="9"/>
  <c r="K393" i="9"/>
  <c r="O393" i="9"/>
  <c r="S393" i="9"/>
  <c r="W393" i="9"/>
  <c r="AA393" i="9"/>
  <c r="AE393" i="9"/>
  <c r="D394" i="9"/>
  <c r="D395" i="9" s="1"/>
  <c r="E394" i="9"/>
  <c r="F394" i="9"/>
  <c r="F395" i="9" s="1"/>
  <c r="H394" i="9"/>
  <c r="I394" i="9"/>
  <c r="I395" i="9" s="1"/>
  <c r="J394" i="9"/>
  <c r="L394" i="9"/>
  <c r="L395" i="9" s="1"/>
  <c r="M394" i="9"/>
  <c r="M395" i="9" s="1"/>
  <c r="N394" i="9"/>
  <c r="P394" i="9"/>
  <c r="Q394" i="9"/>
  <c r="Q395" i="9" s="1"/>
  <c r="R394" i="9"/>
  <c r="T394" i="9"/>
  <c r="U394" i="9"/>
  <c r="V394" i="9"/>
  <c r="X394" i="9"/>
  <c r="X395" i="9" s="1"/>
  <c r="Y394" i="9"/>
  <c r="Z394" i="9"/>
  <c r="Z395" i="9" s="1"/>
  <c r="AB394" i="9"/>
  <c r="AC394" i="9"/>
  <c r="AC395" i="9" s="1"/>
  <c r="AD394" i="9"/>
  <c r="E395" i="9"/>
  <c r="P395" i="9"/>
  <c r="T395" i="9"/>
  <c r="U395" i="9"/>
  <c r="Y395" i="9"/>
  <c r="G396" i="9"/>
  <c r="K396" i="9"/>
  <c r="AF396" i="9" s="1"/>
  <c r="O396" i="9"/>
  <c r="O400" i="9" s="1"/>
  <c r="S396" i="9"/>
  <c r="W396" i="9"/>
  <c r="AA396" i="9"/>
  <c r="AA400" i="9" s="1"/>
  <c r="AE396" i="9"/>
  <c r="AE400" i="9" s="1"/>
  <c r="G397" i="9"/>
  <c r="K397" i="9"/>
  <c r="AF397" i="9" s="1"/>
  <c r="O397" i="9"/>
  <c r="S397" i="9"/>
  <c r="W397" i="9"/>
  <c r="AA397" i="9"/>
  <c r="AE397" i="9"/>
  <c r="G398" i="9"/>
  <c r="K398" i="9"/>
  <c r="AF398" i="9" s="1"/>
  <c r="O398" i="9"/>
  <c r="S398" i="9"/>
  <c r="W398" i="9"/>
  <c r="AA398" i="9"/>
  <c r="AE398" i="9"/>
  <c r="G399" i="9"/>
  <c r="K399" i="9"/>
  <c r="AF399" i="9" s="1"/>
  <c r="O399" i="9"/>
  <c r="S399" i="9"/>
  <c r="W399" i="9"/>
  <c r="AA399" i="9"/>
  <c r="AE399" i="9"/>
  <c r="D400" i="9"/>
  <c r="E400" i="9"/>
  <c r="F400" i="9"/>
  <c r="G400" i="9"/>
  <c r="H400" i="9"/>
  <c r="I400" i="9"/>
  <c r="J400" i="9"/>
  <c r="L400" i="9"/>
  <c r="M400" i="9"/>
  <c r="N400" i="9"/>
  <c r="P400" i="9"/>
  <c r="Q400" i="9"/>
  <c r="R400" i="9"/>
  <c r="S400" i="9"/>
  <c r="T400" i="9"/>
  <c r="U400" i="9"/>
  <c r="V400" i="9"/>
  <c r="W400" i="9"/>
  <c r="X400" i="9"/>
  <c r="Y400" i="9"/>
  <c r="Z400" i="9"/>
  <c r="AB400" i="9"/>
  <c r="AC400" i="9"/>
  <c r="AD400" i="9"/>
  <c r="G401" i="9"/>
  <c r="K401" i="9"/>
  <c r="O401" i="9"/>
  <c r="O405" i="9" s="1"/>
  <c r="S401" i="9"/>
  <c r="W401" i="9"/>
  <c r="AA401" i="9"/>
  <c r="AE401" i="9"/>
  <c r="AE405" i="9" s="1"/>
  <c r="G402" i="9"/>
  <c r="K402" i="9"/>
  <c r="O402" i="9"/>
  <c r="S402" i="9"/>
  <c r="W402" i="9"/>
  <c r="AA402" i="9"/>
  <c r="AE402" i="9"/>
  <c r="G403" i="9"/>
  <c r="G405" i="9" s="1"/>
  <c r="K403" i="9"/>
  <c r="O403" i="9"/>
  <c r="S403" i="9"/>
  <c r="W403" i="9"/>
  <c r="AA403" i="9"/>
  <c r="AE403" i="9"/>
  <c r="G404" i="9"/>
  <c r="K404" i="9"/>
  <c r="O404" i="9"/>
  <c r="S404" i="9"/>
  <c r="W404" i="9"/>
  <c r="AA404" i="9"/>
  <c r="AE404" i="9"/>
  <c r="D405" i="9"/>
  <c r="E405" i="9"/>
  <c r="F405" i="9"/>
  <c r="H405" i="9"/>
  <c r="I405" i="9"/>
  <c r="J405" i="9"/>
  <c r="L405" i="9"/>
  <c r="M405" i="9"/>
  <c r="N405" i="9"/>
  <c r="N416" i="9" s="1"/>
  <c r="P405" i="9"/>
  <c r="Q405" i="9"/>
  <c r="R405" i="9"/>
  <c r="S405" i="9"/>
  <c r="T405" i="9"/>
  <c r="U405" i="9"/>
  <c r="V405" i="9"/>
  <c r="W405" i="9"/>
  <c r="X405" i="9"/>
  <c r="Y405" i="9"/>
  <c r="Z405" i="9"/>
  <c r="AB405" i="9"/>
  <c r="AC405" i="9"/>
  <c r="AC416" i="9" s="1"/>
  <c r="AD405" i="9"/>
  <c r="G406" i="9"/>
  <c r="K406" i="9"/>
  <c r="O406" i="9"/>
  <c r="O410" i="9" s="1"/>
  <c r="S406" i="9"/>
  <c r="W406" i="9"/>
  <c r="AA406" i="9"/>
  <c r="AE406" i="9"/>
  <c r="AE410" i="9" s="1"/>
  <c r="G407" i="9"/>
  <c r="K407" i="9"/>
  <c r="O407" i="9"/>
  <c r="S407" i="9"/>
  <c r="S410" i="9" s="1"/>
  <c r="W407" i="9"/>
  <c r="AA407" i="9"/>
  <c r="AE407" i="9"/>
  <c r="G408" i="9"/>
  <c r="K408" i="9"/>
  <c r="O408" i="9"/>
  <c r="S408" i="9"/>
  <c r="W408" i="9"/>
  <c r="AA408" i="9"/>
  <c r="AE408" i="9"/>
  <c r="G409" i="9"/>
  <c r="K409" i="9"/>
  <c r="O409" i="9"/>
  <c r="S409" i="9"/>
  <c r="W409" i="9"/>
  <c r="AA409" i="9"/>
  <c r="AE409" i="9"/>
  <c r="D410" i="9"/>
  <c r="E410" i="9"/>
  <c r="F410" i="9"/>
  <c r="F416" i="9" s="1"/>
  <c r="H410" i="9"/>
  <c r="I410" i="9"/>
  <c r="J410" i="9"/>
  <c r="J416" i="9" s="1"/>
  <c r="L410" i="9"/>
  <c r="M410" i="9"/>
  <c r="N410" i="9"/>
  <c r="P410" i="9"/>
  <c r="Q410" i="9"/>
  <c r="R410" i="9"/>
  <c r="T410" i="9"/>
  <c r="U410" i="9"/>
  <c r="U416" i="9" s="1"/>
  <c r="V410" i="9"/>
  <c r="X410" i="9"/>
  <c r="Y410" i="9"/>
  <c r="Z410" i="9"/>
  <c r="Z416" i="9" s="1"/>
  <c r="AB410" i="9"/>
  <c r="AC410" i="9"/>
  <c r="AD410" i="9"/>
  <c r="AD416" i="9" s="1"/>
  <c r="G411" i="9"/>
  <c r="AF411" i="9" s="1"/>
  <c r="K411" i="9"/>
  <c r="O411" i="9"/>
  <c r="S411" i="9"/>
  <c r="W411" i="9"/>
  <c r="AA411" i="9"/>
  <c r="AE411" i="9"/>
  <c r="G412" i="9"/>
  <c r="AF412" i="9" s="1"/>
  <c r="K412" i="9"/>
  <c r="O412" i="9"/>
  <c r="S412" i="9"/>
  <c r="W412" i="9"/>
  <c r="AA412" i="9"/>
  <c r="AE412" i="9"/>
  <c r="G413" i="9"/>
  <c r="AF413" i="9" s="1"/>
  <c r="K413" i="9"/>
  <c r="O413" i="9"/>
  <c r="S413" i="9"/>
  <c r="W413" i="9"/>
  <c r="AA413" i="9"/>
  <c r="AE413" i="9"/>
  <c r="G414" i="9"/>
  <c r="AF414" i="9" s="1"/>
  <c r="K414" i="9"/>
  <c r="O414" i="9"/>
  <c r="S414" i="9"/>
  <c r="W414" i="9"/>
  <c r="AA414" i="9"/>
  <c r="AE414" i="9"/>
  <c r="D415" i="9"/>
  <c r="D416" i="9" s="1"/>
  <c r="E415" i="9"/>
  <c r="F415" i="9"/>
  <c r="H415" i="9"/>
  <c r="I415" i="9"/>
  <c r="J415" i="9"/>
  <c r="K415" i="9"/>
  <c r="L415" i="9"/>
  <c r="L416" i="9" s="1"/>
  <c r="M415" i="9"/>
  <c r="N415" i="9"/>
  <c r="O415" i="9"/>
  <c r="P415" i="9"/>
  <c r="P416" i="9" s="1"/>
  <c r="Q415" i="9"/>
  <c r="R415" i="9"/>
  <c r="S415" i="9"/>
  <c r="T415" i="9"/>
  <c r="U415" i="9"/>
  <c r="V415" i="9"/>
  <c r="W415" i="9"/>
  <c r="X415" i="9"/>
  <c r="X416" i="9" s="1"/>
  <c r="Y415" i="9"/>
  <c r="Z415" i="9"/>
  <c r="AA415" i="9"/>
  <c r="AB415" i="9"/>
  <c r="AC415" i="9"/>
  <c r="AD415" i="9"/>
  <c r="AE415" i="9"/>
  <c r="H416" i="9"/>
  <c r="Q416" i="9"/>
  <c r="T416" i="9"/>
  <c r="Y416" i="9"/>
  <c r="AB416" i="9"/>
  <c r="G417" i="9"/>
  <c r="K417" i="9"/>
  <c r="O417" i="9"/>
  <c r="S417" i="9"/>
  <c r="W417" i="9"/>
  <c r="AA417" i="9"/>
  <c r="AE417" i="9"/>
  <c r="G418" i="9"/>
  <c r="K418" i="9"/>
  <c r="O418" i="9"/>
  <c r="S418" i="9"/>
  <c r="W418" i="9"/>
  <c r="AA418" i="9"/>
  <c r="AE418" i="9"/>
  <c r="G419" i="9"/>
  <c r="K419" i="9"/>
  <c r="O419" i="9"/>
  <c r="S419" i="9"/>
  <c r="W419" i="9"/>
  <c r="AA419" i="9"/>
  <c r="AE419" i="9"/>
  <c r="G420" i="9"/>
  <c r="K420" i="9"/>
  <c r="O420" i="9"/>
  <c r="S420" i="9"/>
  <c r="W420" i="9"/>
  <c r="AA420" i="9"/>
  <c r="AE420" i="9"/>
  <c r="D421" i="9"/>
  <c r="E421" i="9"/>
  <c r="F421" i="9"/>
  <c r="H421" i="9"/>
  <c r="I421" i="9"/>
  <c r="J421" i="9"/>
  <c r="K421" i="9"/>
  <c r="L421" i="9"/>
  <c r="M421" i="9"/>
  <c r="N421" i="9"/>
  <c r="O421" i="9"/>
  <c r="P421" i="9"/>
  <c r="Q421" i="9"/>
  <c r="R421" i="9"/>
  <c r="S421" i="9"/>
  <c r="T421" i="9"/>
  <c r="U421" i="9"/>
  <c r="V421" i="9"/>
  <c r="X421" i="9"/>
  <c r="Y421" i="9"/>
  <c r="Z421" i="9"/>
  <c r="AA421" i="9"/>
  <c r="AB421" i="9"/>
  <c r="AC421" i="9"/>
  <c r="AD421" i="9"/>
  <c r="AE421" i="9"/>
  <c r="G422" i="9"/>
  <c r="AF422" i="9" s="1"/>
  <c r="K422" i="9"/>
  <c r="O422" i="9"/>
  <c r="S422" i="9"/>
  <c r="W422" i="9"/>
  <c r="AA422" i="9"/>
  <c r="AE422" i="9"/>
  <c r="G423" i="9"/>
  <c r="AF423" i="9" s="1"/>
  <c r="K423" i="9"/>
  <c r="O423" i="9"/>
  <c r="S423" i="9"/>
  <c r="W423" i="9"/>
  <c r="AA423" i="9"/>
  <c r="AE423" i="9"/>
  <c r="G424" i="9"/>
  <c r="K424" i="9"/>
  <c r="O424" i="9"/>
  <c r="S424" i="9"/>
  <c r="W424" i="9"/>
  <c r="AF424" i="9" s="1"/>
  <c r="AA424" i="9"/>
  <c r="AE424" i="9"/>
  <c r="G425" i="9"/>
  <c r="K425" i="9"/>
  <c r="O425" i="9"/>
  <c r="S425" i="9"/>
  <c r="W425" i="9"/>
  <c r="AA425" i="9"/>
  <c r="AE425" i="9"/>
  <c r="AF425" i="9"/>
  <c r="D426" i="9"/>
  <c r="E426" i="9"/>
  <c r="F426" i="9"/>
  <c r="G426" i="9"/>
  <c r="H426" i="9"/>
  <c r="I426" i="9"/>
  <c r="J426" i="9"/>
  <c r="K426" i="9"/>
  <c r="L426" i="9"/>
  <c r="M426" i="9"/>
  <c r="N426" i="9"/>
  <c r="O426" i="9"/>
  <c r="P426" i="9"/>
  <c r="Q426" i="9"/>
  <c r="R426" i="9"/>
  <c r="S426" i="9"/>
  <c r="T426" i="9"/>
  <c r="U426" i="9"/>
  <c r="V426" i="9"/>
  <c r="W426" i="9"/>
  <c r="X426" i="9"/>
  <c r="Y426" i="9"/>
  <c r="Z426" i="9"/>
  <c r="AA426" i="9"/>
  <c r="AB426" i="9"/>
  <c r="AC426" i="9"/>
  <c r="AD426" i="9"/>
  <c r="AE426" i="9"/>
  <c r="G427" i="9"/>
  <c r="K427" i="9"/>
  <c r="O427" i="9"/>
  <c r="S427" i="9"/>
  <c r="S431" i="9" s="1"/>
  <c r="W427" i="9"/>
  <c r="W431" i="9" s="1"/>
  <c r="AA427" i="9"/>
  <c r="AE427" i="9"/>
  <c r="G428" i="9"/>
  <c r="K428" i="9"/>
  <c r="O428" i="9"/>
  <c r="S428" i="9"/>
  <c r="W428" i="9"/>
  <c r="AA428" i="9"/>
  <c r="AE428" i="9"/>
  <c r="G429" i="9"/>
  <c r="K429" i="9"/>
  <c r="O429" i="9"/>
  <c r="S429" i="9"/>
  <c r="W429" i="9"/>
  <c r="AA429" i="9"/>
  <c r="AE429" i="9"/>
  <c r="G430" i="9"/>
  <c r="K430" i="9"/>
  <c r="O430" i="9"/>
  <c r="S430" i="9"/>
  <c r="W430" i="9"/>
  <c r="AA430" i="9"/>
  <c r="AE430" i="9"/>
  <c r="D431" i="9"/>
  <c r="E431" i="9"/>
  <c r="F431" i="9"/>
  <c r="G431" i="9"/>
  <c r="H431" i="9"/>
  <c r="I431" i="9"/>
  <c r="J431" i="9"/>
  <c r="L431" i="9"/>
  <c r="M431" i="9"/>
  <c r="N431" i="9"/>
  <c r="P431" i="9"/>
  <c r="Q431" i="9"/>
  <c r="R431" i="9"/>
  <c r="T431" i="9"/>
  <c r="U431" i="9"/>
  <c r="V431" i="9"/>
  <c r="X431" i="9"/>
  <c r="Y431" i="9"/>
  <c r="Z431" i="9"/>
  <c r="AB431" i="9"/>
  <c r="AC431" i="9"/>
  <c r="AD431" i="9"/>
  <c r="G432" i="9"/>
  <c r="K432" i="9"/>
  <c r="O432" i="9"/>
  <c r="S432" i="9"/>
  <c r="W432" i="9"/>
  <c r="AA432" i="9"/>
  <c r="AE432" i="9"/>
  <c r="G433" i="9"/>
  <c r="K433" i="9"/>
  <c r="O433" i="9"/>
  <c r="S433" i="9"/>
  <c r="W433" i="9"/>
  <c r="AA433" i="9"/>
  <c r="AE433" i="9"/>
  <c r="G434" i="9"/>
  <c r="K434" i="9"/>
  <c r="O434" i="9"/>
  <c r="S434" i="9"/>
  <c r="W434" i="9"/>
  <c r="AA434" i="9"/>
  <c r="AE434" i="9"/>
  <c r="G435" i="9"/>
  <c r="K435" i="9"/>
  <c r="O435" i="9"/>
  <c r="S435" i="9"/>
  <c r="W435" i="9"/>
  <c r="AA435" i="9"/>
  <c r="AE435" i="9"/>
  <c r="D436" i="9"/>
  <c r="E436" i="9"/>
  <c r="F436" i="9"/>
  <c r="H436" i="9"/>
  <c r="I436" i="9"/>
  <c r="J436" i="9"/>
  <c r="L436" i="9"/>
  <c r="M436" i="9"/>
  <c r="N436" i="9"/>
  <c r="P436" i="9"/>
  <c r="Q436" i="9"/>
  <c r="R436" i="9"/>
  <c r="S436" i="9"/>
  <c r="T436" i="9"/>
  <c r="U436" i="9"/>
  <c r="V436" i="9"/>
  <c r="X436" i="9"/>
  <c r="Y436" i="9"/>
  <c r="Z436" i="9"/>
  <c r="AB436" i="9"/>
  <c r="AC436" i="9"/>
  <c r="AD436" i="9"/>
  <c r="G437" i="9"/>
  <c r="K437" i="9"/>
  <c r="O437" i="9"/>
  <c r="S437" i="9"/>
  <c r="W437" i="9"/>
  <c r="AA437" i="9"/>
  <c r="AE437" i="9"/>
  <c r="G438" i="9"/>
  <c r="K438" i="9"/>
  <c r="O438" i="9"/>
  <c r="S438" i="9"/>
  <c r="W438" i="9"/>
  <c r="AA438" i="9"/>
  <c r="AE438" i="9"/>
  <c r="G439" i="9"/>
  <c r="K439" i="9"/>
  <c r="O439" i="9"/>
  <c r="S439" i="9"/>
  <c r="W439" i="9"/>
  <c r="AA439" i="9"/>
  <c r="AE439" i="9"/>
  <c r="G440" i="9"/>
  <c r="K440" i="9"/>
  <c r="O440" i="9"/>
  <c r="S440" i="9"/>
  <c r="W440" i="9"/>
  <c r="AA440" i="9"/>
  <c r="AE440" i="9"/>
  <c r="D441" i="9"/>
  <c r="E441" i="9"/>
  <c r="F441" i="9"/>
  <c r="H441" i="9"/>
  <c r="I441" i="9"/>
  <c r="J441" i="9"/>
  <c r="K441" i="9"/>
  <c r="L441" i="9"/>
  <c r="M441" i="9"/>
  <c r="N441" i="9"/>
  <c r="O441" i="9"/>
  <c r="P441" i="9"/>
  <c r="Q441" i="9"/>
  <c r="R441" i="9"/>
  <c r="S441" i="9"/>
  <c r="T441" i="9"/>
  <c r="U441" i="9"/>
  <c r="V441" i="9"/>
  <c r="X441" i="9"/>
  <c r="Y441" i="9"/>
  <c r="Z441" i="9"/>
  <c r="AA441" i="9"/>
  <c r="AB441" i="9"/>
  <c r="AC441" i="9"/>
  <c r="AD441" i="9"/>
  <c r="AE441" i="9"/>
  <c r="G442" i="9"/>
  <c r="K442" i="9"/>
  <c r="O442" i="9"/>
  <c r="S442" i="9"/>
  <c r="W442" i="9"/>
  <c r="AA442" i="9"/>
  <c r="AE442" i="9"/>
  <c r="AF442" i="9"/>
  <c r="G443" i="9"/>
  <c r="K443" i="9"/>
  <c r="O443" i="9"/>
  <c r="S443" i="9"/>
  <c r="W443" i="9"/>
  <c r="AA443" i="9"/>
  <c r="AE443" i="9"/>
  <c r="AF443" i="9"/>
  <c r="G444" i="9"/>
  <c r="K444" i="9"/>
  <c r="O444" i="9"/>
  <c r="S444" i="9"/>
  <c r="W444" i="9"/>
  <c r="AA444" i="9"/>
  <c r="AE444" i="9"/>
  <c r="AF444" i="9"/>
  <c r="G445" i="9"/>
  <c r="K445" i="9"/>
  <c r="O445" i="9"/>
  <c r="S445" i="9"/>
  <c r="W445" i="9"/>
  <c r="AA445" i="9"/>
  <c r="AE445" i="9"/>
  <c r="AF445" i="9"/>
  <c r="D446" i="9"/>
  <c r="E446" i="9"/>
  <c r="F446" i="9"/>
  <c r="G446" i="9"/>
  <c r="H446" i="9"/>
  <c r="I446" i="9"/>
  <c r="J446" i="9"/>
  <c r="K446" i="9"/>
  <c r="L446" i="9"/>
  <c r="M446" i="9"/>
  <c r="N446" i="9"/>
  <c r="O446" i="9"/>
  <c r="P446" i="9"/>
  <c r="Q446" i="9"/>
  <c r="R446" i="9"/>
  <c r="S446" i="9"/>
  <c r="T446" i="9"/>
  <c r="U446" i="9"/>
  <c r="V446" i="9"/>
  <c r="W446" i="9"/>
  <c r="X446" i="9"/>
  <c r="Y446" i="9"/>
  <c r="Z446" i="9"/>
  <c r="AA446" i="9"/>
  <c r="AB446" i="9"/>
  <c r="AC446" i="9"/>
  <c r="AD446" i="9"/>
  <c r="AE446" i="9"/>
  <c r="H5" i="8"/>
  <c r="M5" i="8"/>
  <c r="R5" i="8"/>
  <c r="W5" i="8"/>
  <c r="AB5" i="8"/>
  <c r="AG5" i="8"/>
  <c r="AL5" i="8"/>
  <c r="AM5" i="8"/>
  <c r="H6" i="8"/>
  <c r="M6" i="8"/>
  <c r="R6" i="8"/>
  <c r="W6" i="8"/>
  <c r="AB6" i="8"/>
  <c r="AG6" i="8"/>
  <c r="AL6" i="8"/>
  <c r="AM6" i="8"/>
  <c r="H7" i="8"/>
  <c r="M7" i="8"/>
  <c r="R7" i="8"/>
  <c r="W7" i="8"/>
  <c r="AB7" i="8"/>
  <c r="AG7" i="8"/>
  <c r="AL7" i="8"/>
  <c r="AM7" i="8"/>
  <c r="H8" i="8"/>
  <c r="M8" i="8"/>
  <c r="R8" i="8"/>
  <c r="W8" i="8"/>
  <c r="AB8" i="8"/>
  <c r="AG8" i="8"/>
  <c r="AL8" i="8"/>
  <c r="AM8" i="8"/>
  <c r="D9" i="8"/>
  <c r="E9" i="8"/>
  <c r="F9" i="8"/>
  <c r="G9" i="8"/>
  <c r="H9" i="8"/>
  <c r="I9" i="8"/>
  <c r="J9" i="8"/>
  <c r="K9" i="8"/>
  <c r="L9" i="8"/>
  <c r="M9" i="8"/>
  <c r="N9" i="8"/>
  <c r="O9" i="8"/>
  <c r="P9" i="8"/>
  <c r="Q9" i="8"/>
  <c r="R9" i="8"/>
  <c r="S9" i="8"/>
  <c r="T9" i="8"/>
  <c r="U9" i="8"/>
  <c r="V9" i="8"/>
  <c r="W9" i="8"/>
  <c r="X9" i="8"/>
  <c r="Y9" i="8"/>
  <c r="Z9" i="8"/>
  <c r="AA9" i="8"/>
  <c r="AB9" i="8"/>
  <c r="AC9" i="8"/>
  <c r="AD9" i="8"/>
  <c r="AE9" i="8"/>
  <c r="AF9" i="8"/>
  <c r="AG9" i="8"/>
  <c r="AH9" i="8"/>
  <c r="AI9" i="8"/>
  <c r="AJ9" i="8"/>
  <c r="AK9" i="8"/>
  <c r="AL9" i="8"/>
  <c r="AM9" i="8"/>
  <c r="H10" i="8"/>
  <c r="M10" i="8"/>
  <c r="R10" i="8"/>
  <c r="W10" i="8"/>
  <c r="AB10" i="8"/>
  <c r="AG10" i="8"/>
  <c r="AL10" i="8"/>
  <c r="AM10" i="8"/>
  <c r="H11" i="8"/>
  <c r="M11" i="8"/>
  <c r="R11" i="8"/>
  <c r="W11" i="8"/>
  <c r="AB11" i="8"/>
  <c r="AG11" i="8"/>
  <c r="AL11" i="8"/>
  <c r="AM11" i="8"/>
  <c r="H12" i="8"/>
  <c r="M12" i="8"/>
  <c r="R12" i="8"/>
  <c r="W12" i="8"/>
  <c r="AB12" i="8"/>
  <c r="AG12" i="8"/>
  <c r="AL12" i="8"/>
  <c r="AM12" i="8"/>
  <c r="H13" i="8"/>
  <c r="M13" i="8"/>
  <c r="R13" i="8"/>
  <c r="W13" i="8"/>
  <c r="AB13" i="8"/>
  <c r="AG13" i="8"/>
  <c r="AL13" i="8"/>
  <c r="AM13"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H15" i="8"/>
  <c r="M15" i="8"/>
  <c r="R15" i="8"/>
  <c r="W15" i="8"/>
  <c r="AB15" i="8"/>
  <c r="AG15" i="8"/>
  <c r="AL15" i="8"/>
  <c r="AM15" i="8"/>
  <c r="H16" i="8"/>
  <c r="M16" i="8"/>
  <c r="R16" i="8"/>
  <c r="W16" i="8"/>
  <c r="AB16" i="8"/>
  <c r="AG16" i="8"/>
  <c r="AL16" i="8"/>
  <c r="AM16" i="8"/>
  <c r="H17" i="8"/>
  <c r="M17" i="8"/>
  <c r="R17" i="8"/>
  <c r="W17" i="8"/>
  <c r="AB17" i="8"/>
  <c r="AG17" i="8"/>
  <c r="AL17" i="8"/>
  <c r="AM17" i="8"/>
  <c r="H18" i="8"/>
  <c r="M18" i="8"/>
  <c r="R18" i="8"/>
  <c r="W18" i="8"/>
  <c r="AB18" i="8"/>
  <c r="AG18" i="8"/>
  <c r="AL18" i="8"/>
  <c r="AM18"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H20" i="8"/>
  <c r="M20" i="8"/>
  <c r="R20" i="8"/>
  <c r="W20" i="8"/>
  <c r="AB20" i="8"/>
  <c r="AG20" i="8"/>
  <c r="AL20" i="8"/>
  <c r="AM20" i="8"/>
  <c r="H21" i="8"/>
  <c r="M21" i="8"/>
  <c r="R21" i="8"/>
  <c r="W21" i="8"/>
  <c r="AB21" i="8"/>
  <c r="AG21" i="8"/>
  <c r="AL21" i="8"/>
  <c r="AM21" i="8"/>
  <c r="H22" i="8"/>
  <c r="M22" i="8"/>
  <c r="R22" i="8"/>
  <c r="W22" i="8"/>
  <c r="AB22" i="8"/>
  <c r="AG22" i="8"/>
  <c r="AL22" i="8"/>
  <c r="AM22" i="8"/>
  <c r="H23" i="8"/>
  <c r="M23" i="8"/>
  <c r="R23" i="8"/>
  <c r="W23" i="8"/>
  <c r="AB23" i="8"/>
  <c r="AG23" i="8"/>
  <c r="AL23" i="8"/>
  <c r="AM23" i="8"/>
  <c r="D24" i="8"/>
  <c r="E24"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H25" i="8"/>
  <c r="M25" i="8"/>
  <c r="R25" i="8"/>
  <c r="W25" i="8"/>
  <c r="AB25" i="8"/>
  <c r="AG25" i="8"/>
  <c r="AL25" i="8"/>
  <c r="AM25" i="8"/>
  <c r="H26" i="8"/>
  <c r="M26" i="8"/>
  <c r="R26" i="8"/>
  <c r="W26" i="8"/>
  <c r="AB26" i="8"/>
  <c r="AG26" i="8"/>
  <c r="AL26" i="8"/>
  <c r="AM26" i="8"/>
  <c r="H27" i="8"/>
  <c r="M27" i="8"/>
  <c r="R27" i="8"/>
  <c r="W27" i="8"/>
  <c r="AB27" i="8"/>
  <c r="AG27" i="8"/>
  <c r="AL27" i="8"/>
  <c r="AM27" i="8"/>
  <c r="H28" i="8"/>
  <c r="M28" i="8"/>
  <c r="R28" i="8"/>
  <c r="W28" i="8"/>
  <c r="AB28" i="8"/>
  <c r="AG28" i="8"/>
  <c r="AL28" i="8"/>
  <c r="AM28" i="8"/>
  <c r="D29" i="8"/>
  <c r="E29" i="8"/>
  <c r="F29" i="8"/>
  <c r="G29" i="8"/>
  <c r="H29" i="8"/>
  <c r="I29" i="8"/>
  <c r="J29" i="8"/>
  <c r="K29" i="8"/>
  <c r="L29" i="8"/>
  <c r="M29" i="8"/>
  <c r="N29" i="8"/>
  <c r="O29" i="8"/>
  <c r="P29" i="8"/>
  <c r="Q29" i="8"/>
  <c r="R29" i="8"/>
  <c r="S29" i="8"/>
  <c r="T29" i="8"/>
  <c r="U29" i="8"/>
  <c r="V29" i="8"/>
  <c r="W29" i="8"/>
  <c r="X29" i="8"/>
  <c r="Y29" i="8"/>
  <c r="Z29" i="8"/>
  <c r="AA29" i="8"/>
  <c r="AB29" i="8"/>
  <c r="AC29" i="8"/>
  <c r="AD29" i="8"/>
  <c r="AE29" i="8"/>
  <c r="AF29" i="8"/>
  <c r="AG29" i="8"/>
  <c r="AH29" i="8"/>
  <c r="AI29" i="8"/>
  <c r="AJ29" i="8"/>
  <c r="AK29" i="8"/>
  <c r="AL29" i="8"/>
  <c r="AM29" i="8"/>
  <c r="H30" i="8"/>
  <c r="M30" i="8"/>
  <c r="R30" i="8"/>
  <c r="W30" i="8"/>
  <c r="AB30" i="8"/>
  <c r="AG30" i="8"/>
  <c r="AL30" i="8"/>
  <c r="AM30" i="8"/>
  <c r="H31" i="8"/>
  <c r="M31" i="8"/>
  <c r="R31" i="8"/>
  <c r="W31" i="8"/>
  <c r="AB31" i="8"/>
  <c r="AG31" i="8"/>
  <c r="AL31" i="8"/>
  <c r="AM31" i="8"/>
  <c r="H32" i="8"/>
  <c r="M32" i="8"/>
  <c r="R32" i="8"/>
  <c r="W32" i="8"/>
  <c r="AB32" i="8"/>
  <c r="AG32" i="8"/>
  <c r="AL32" i="8"/>
  <c r="AM32" i="8"/>
  <c r="H33" i="8"/>
  <c r="M33" i="8"/>
  <c r="R33" i="8"/>
  <c r="W33" i="8"/>
  <c r="AB33" i="8"/>
  <c r="AG33" i="8"/>
  <c r="AL33" i="8"/>
  <c r="AM33" i="8"/>
  <c r="D34" i="8"/>
  <c r="E34" i="8"/>
  <c r="F34" i="8"/>
  <c r="G34" i="8"/>
  <c r="H34" i="8"/>
  <c r="I34" i="8"/>
  <c r="J34" i="8"/>
  <c r="K34" i="8"/>
  <c r="L34" i="8"/>
  <c r="M34" i="8"/>
  <c r="N34" i="8"/>
  <c r="O34" i="8"/>
  <c r="P34" i="8"/>
  <c r="Q34" i="8"/>
  <c r="R34" i="8"/>
  <c r="S34" i="8"/>
  <c r="T34" i="8"/>
  <c r="U34" i="8"/>
  <c r="V34" i="8"/>
  <c r="W34" i="8"/>
  <c r="X34" i="8"/>
  <c r="Y34" i="8"/>
  <c r="Z34" i="8"/>
  <c r="AA34" i="8"/>
  <c r="AB34" i="8"/>
  <c r="AC34" i="8"/>
  <c r="AD34" i="8"/>
  <c r="AE34" i="8"/>
  <c r="AF34" i="8"/>
  <c r="AG34" i="8"/>
  <c r="AH34" i="8"/>
  <c r="AI34" i="8"/>
  <c r="AJ34" i="8"/>
  <c r="AK34" i="8"/>
  <c r="AL34" i="8"/>
  <c r="AM34" i="8"/>
  <c r="H35" i="8"/>
  <c r="M35" i="8"/>
  <c r="R35" i="8"/>
  <c r="W35" i="8"/>
  <c r="AB35" i="8"/>
  <c r="AG35" i="8"/>
  <c r="AL35" i="8"/>
  <c r="AM35" i="8"/>
  <c r="H36" i="8"/>
  <c r="M36" i="8"/>
  <c r="R36" i="8"/>
  <c r="W36" i="8"/>
  <c r="AB36" i="8"/>
  <c r="AG36" i="8"/>
  <c r="AL36" i="8"/>
  <c r="AM36" i="8"/>
  <c r="H37" i="8"/>
  <c r="M37" i="8"/>
  <c r="R37" i="8"/>
  <c r="W37" i="8"/>
  <c r="AB37" i="8"/>
  <c r="AG37" i="8"/>
  <c r="AL37" i="8"/>
  <c r="AM37" i="8"/>
  <c r="H38" i="8"/>
  <c r="M38" i="8"/>
  <c r="R38" i="8"/>
  <c r="W38" i="8"/>
  <c r="AB38" i="8"/>
  <c r="AG38" i="8"/>
  <c r="AL38" i="8"/>
  <c r="AM38" i="8"/>
  <c r="D39" i="8"/>
  <c r="E39" i="8"/>
  <c r="F39" i="8"/>
  <c r="G39" i="8"/>
  <c r="H39" i="8"/>
  <c r="I39" i="8"/>
  <c r="J39" i="8"/>
  <c r="K39" i="8"/>
  <c r="L39" i="8"/>
  <c r="M39" i="8"/>
  <c r="N39" i="8"/>
  <c r="O39" i="8"/>
  <c r="P39" i="8"/>
  <c r="Q39" i="8"/>
  <c r="R39" i="8"/>
  <c r="S39" i="8"/>
  <c r="T39" i="8"/>
  <c r="U39" i="8"/>
  <c r="V39" i="8"/>
  <c r="W39" i="8"/>
  <c r="X39" i="8"/>
  <c r="Y39" i="8"/>
  <c r="Z39" i="8"/>
  <c r="AA39" i="8"/>
  <c r="AB39" i="8"/>
  <c r="AC39" i="8"/>
  <c r="AD39" i="8"/>
  <c r="AE39" i="8"/>
  <c r="AF39" i="8"/>
  <c r="AG39" i="8"/>
  <c r="AH39" i="8"/>
  <c r="AI39" i="8"/>
  <c r="AJ39" i="8"/>
  <c r="AK39" i="8"/>
  <c r="AL39" i="8"/>
  <c r="AM39" i="8"/>
  <c r="D40" i="8"/>
  <c r="E40" i="8"/>
  <c r="F40" i="8"/>
  <c r="G40" i="8"/>
  <c r="H40" i="8"/>
  <c r="I40" i="8"/>
  <c r="J40" i="8"/>
  <c r="K40" i="8"/>
  <c r="L40" i="8"/>
  <c r="M40" i="8"/>
  <c r="N40" i="8"/>
  <c r="O40" i="8"/>
  <c r="P40" i="8"/>
  <c r="Q40" i="8"/>
  <c r="R40" i="8"/>
  <c r="S40" i="8"/>
  <c r="T40" i="8"/>
  <c r="U40" i="8"/>
  <c r="V40" i="8"/>
  <c r="W40" i="8"/>
  <c r="X40" i="8"/>
  <c r="Y40" i="8"/>
  <c r="Z40" i="8"/>
  <c r="AA40" i="8"/>
  <c r="AB40" i="8"/>
  <c r="AC40" i="8"/>
  <c r="AD40" i="8"/>
  <c r="AE40" i="8"/>
  <c r="AF40" i="8"/>
  <c r="AG40" i="8"/>
  <c r="AH40" i="8"/>
  <c r="AI40" i="8"/>
  <c r="AJ40" i="8"/>
  <c r="AK40" i="8"/>
  <c r="AL40" i="8"/>
  <c r="AM40" i="8"/>
  <c r="H41" i="8"/>
  <c r="M41" i="8"/>
  <c r="R41" i="8"/>
  <c r="W41" i="8"/>
  <c r="AB41" i="8"/>
  <c r="AG41" i="8"/>
  <c r="AL41" i="8"/>
  <c r="AM41" i="8"/>
  <c r="H42" i="8"/>
  <c r="M42" i="8"/>
  <c r="R42" i="8"/>
  <c r="W42" i="8"/>
  <c r="AB42" i="8"/>
  <c r="AG42" i="8"/>
  <c r="AL42" i="8"/>
  <c r="AM42" i="8"/>
  <c r="H43" i="8"/>
  <c r="M43" i="8"/>
  <c r="R43" i="8"/>
  <c r="W43" i="8"/>
  <c r="AB43" i="8"/>
  <c r="AG43" i="8"/>
  <c r="AL43" i="8"/>
  <c r="AM43" i="8"/>
  <c r="H44" i="8"/>
  <c r="M44" i="8"/>
  <c r="R44" i="8"/>
  <c r="W44" i="8"/>
  <c r="AB44" i="8"/>
  <c r="AG44" i="8"/>
  <c r="AL44" i="8"/>
  <c r="AM44" i="8"/>
  <c r="D45" i="8"/>
  <c r="E45" i="8"/>
  <c r="F45" i="8"/>
  <c r="G45" i="8"/>
  <c r="H45" i="8"/>
  <c r="I45" i="8"/>
  <c r="J45" i="8"/>
  <c r="K45" i="8"/>
  <c r="L45" i="8"/>
  <c r="M45" i="8"/>
  <c r="N45" i="8"/>
  <c r="O45" i="8"/>
  <c r="P45" i="8"/>
  <c r="Q45" i="8"/>
  <c r="R45" i="8"/>
  <c r="S45" i="8"/>
  <c r="T45" i="8"/>
  <c r="U45" i="8"/>
  <c r="V45" i="8"/>
  <c r="W45" i="8"/>
  <c r="X45" i="8"/>
  <c r="Y45" i="8"/>
  <c r="Z45" i="8"/>
  <c r="AA45" i="8"/>
  <c r="AB45" i="8"/>
  <c r="AC45" i="8"/>
  <c r="AD45" i="8"/>
  <c r="AE45" i="8"/>
  <c r="AF45" i="8"/>
  <c r="AG45" i="8"/>
  <c r="AH45" i="8"/>
  <c r="AI45" i="8"/>
  <c r="AJ45" i="8"/>
  <c r="AK45" i="8"/>
  <c r="AL45" i="8"/>
  <c r="AM45" i="8"/>
  <c r="H46" i="8"/>
  <c r="M46" i="8"/>
  <c r="R46" i="8"/>
  <c r="W46" i="8"/>
  <c r="AB46" i="8"/>
  <c r="AG46" i="8"/>
  <c r="AL46" i="8"/>
  <c r="AM46" i="8"/>
  <c r="H47" i="8"/>
  <c r="M47" i="8"/>
  <c r="R47" i="8"/>
  <c r="W47" i="8"/>
  <c r="AB47" i="8"/>
  <c r="AG47" i="8"/>
  <c r="AL47" i="8"/>
  <c r="AM47" i="8"/>
  <c r="H48" i="8"/>
  <c r="M48" i="8"/>
  <c r="R48" i="8"/>
  <c r="W48" i="8"/>
  <c r="AB48" i="8"/>
  <c r="AG48" i="8"/>
  <c r="AL48" i="8"/>
  <c r="AM48" i="8"/>
  <c r="H49" i="8"/>
  <c r="M49" i="8"/>
  <c r="R49" i="8"/>
  <c r="W49" i="8"/>
  <c r="AB49" i="8"/>
  <c r="AG49" i="8"/>
  <c r="AL49" i="8"/>
  <c r="AM49" i="8"/>
  <c r="D50" i="8"/>
  <c r="E50" i="8"/>
  <c r="F50" i="8"/>
  <c r="G50" i="8"/>
  <c r="H50" i="8"/>
  <c r="I50" i="8"/>
  <c r="J50" i="8"/>
  <c r="K50" i="8"/>
  <c r="L50" i="8"/>
  <c r="M50" i="8"/>
  <c r="N50" i="8"/>
  <c r="O50" i="8"/>
  <c r="P50" i="8"/>
  <c r="Q50" i="8"/>
  <c r="R50" i="8"/>
  <c r="S50" i="8"/>
  <c r="T50" i="8"/>
  <c r="U50" i="8"/>
  <c r="V50" i="8"/>
  <c r="W50" i="8"/>
  <c r="X50" i="8"/>
  <c r="Y50" i="8"/>
  <c r="Z50" i="8"/>
  <c r="AA50" i="8"/>
  <c r="AB50" i="8"/>
  <c r="AC50" i="8"/>
  <c r="AD50" i="8"/>
  <c r="AE50" i="8"/>
  <c r="AF50" i="8"/>
  <c r="AG50" i="8"/>
  <c r="AH50" i="8"/>
  <c r="AI50" i="8"/>
  <c r="AJ50" i="8"/>
  <c r="AK50" i="8"/>
  <c r="AL50" i="8"/>
  <c r="AM50" i="8"/>
  <c r="D51" i="8"/>
  <c r="E51" i="8"/>
  <c r="F51" i="8"/>
  <c r="G51" i="8"/>
  <c r="H51" i="8"/>
  <c r="I51" i="8"/>
  <c r="J51" i="8"/>
  <c r="K51" i="8"/>
  <c r="L51" i="8"/>
  <c r="M51" i="8"/>
  <c r="N51" i="8"/>
  <c r="O51" i="8"/>
  <c r="P51" i="8"/>
  <c r="Q51" i="8"/>
  <c r="R51" i="8"/>
  <c r="S51" i="8"/>
  <c r="T51" i="8"/>
  <c r="U51" i="8"/>
  <c r="V51" i="8"/>
  <c r="W51" i="8"/>
  <c r="X51" i="8"/>
  <c r="Y51" i="8"/>
  <c r="Z51" i="8"/>
  <c r="AA51" i="8"/>
  <c r="AB51" i="8"/>
  <c r="AC51" i="8"/>
  <c r="AD51" i="8"/>
  <c r="AE51" i="8"/>
  <c r="AF51" i="8"/>
  <c r="AG51" i="8"/>
  <c r="AH51" i="8"/>
  <c r="AI51" i="8"/>
  <c r="AJ51" i="8"/>
  <c r="AK51" i="8"/>
  <c r="AL51" i="8"/>
  <c r="AM51" i="8"/>
  <c r="H52" i="8"/>
  <c r="M52" i="8"/>
  <c r="R52" i="8"/>
  <c r="W52" i="8"/>
  <c r="AB52" i="8"/>
  <c r="AG52" i="8"/>
  <c r="AL52" i="8"/>
  <c r="AM52" i="8"/>
  <c r="H53" i="8"/>
  <c r="M53" i="8"/>
  <c r="R53" i="8"/>
  <c r="W53" i="8"/>
  <c r="AB53" i="8"/>
  <c r="AG53" i="8"/>
  <c r="AL53" i="8"/>
  <c r="AM53" i="8"/>
  <c r="H54" i="8"/>
  <c r="M54" i="8"/>
  <c r="R54" i="8"/>
  <c r="W54" i="8"/>
  <c r="AB54" i="8"/>
  <c r="AG54" i="8"/>
  <c r="AL54" i="8"/>
  <c r="AM54" i="8"/>
  <c r="H55" i="8"/>
  <c r="M55" i="8"/>
  <c r="R55" i="8"/>
  <c r="W55" i="8"/>
  <c r="AB55" i="8"/>
  <c r="AG55" i="8"/>
  <c r="AL55" i="8"/>
  <c r="AM55" i="8"/>
  <c r="D56" i="8"/>
  <c r="E56" i="8"/>
  <c r="F56" i="8"/>
  <c r="G56" i="8"/>
  <c r="H56" i="8"/>
  <c r="I56" i="8"/>
  <c r="J56" i="8"/>
  <c r="K56" i="8"/>
  <c r="L56" i="8"/>
  <c r="M56" i="8"/>
  <c r="N56" i="8"/>
  <c r="O56" i="8"/>
  <c r="P56" i="8"/>
  <c r="Q56" i="8"/>
  <c r="R56" i="8"/>
  <c r="S56" i="8"/>
  <c r="T56" i="8"/>
  <c r="U56" i="8"/>
  <c r="V56" i="8"/>
  <c r="W56" i="8"/>
  <c r="X56" i="8"/>
  <c r="Y56" i="8"/>
  <c r="Z56" i="8"/>
  <c r="AA56" i="8"/>
  <c r="AB56" i="8"/>
  <c r="AC56" i="8"/>
  <c r="AD56" i="8"/>
  <c r="AE56" i="8"/>
  <c r="AF56" i="8"/>
  <c r="AG56" i="8"/>
  <c r="AH56" i="8"/>
  <c r="AI56" i="8"/>
  <c r="AJ56" i="8"/>
  <c r="AK56" i="8"/>
  <c r="AL56" i="8"/>
  <c r="AM56" i="8"/>
  <c r="H57" i="8"/>
  <c r="M57" i="8"/>
  <c r="R57" i="8"/>
  <c r="W57" i="8"/>
  <c r="AB57" i="8"/>
  <c r="AG57" i="8"/>
  <c r="AL57" i="8"/>
  <c r="AM57" i="8"/>
  <c r="H58" i="8"/>
  <c r="M58" i="8"/>
  <c r="R58" i="8"/>
  <c r="W58" i="8"/>
  <c r="AB58" i="8"/>
  <c r="AG58" i="8"/>
  <c r="AL58" i="8"/>
  <c r="AM58" i="8"/>
  <c r="H59" i="8"/>
  <c r="M59" i="8"/>
  <c r="R59" i="8"/>
  <c r="W59" i="8"/>
  <c r="AB59" i="8"/>
  <c r="AG59" i="8"/>
  <c r="AL59" i="8"/>
  <c r="AM59" i="8"/>
  <c r="H60" i="8"/>
  <c r="M60" i="8"/>
  <c r="R60" i="8"/>
  <c r="W60" i="8"/>
  <c r="AB60" i="8"/>
  <c r="AG60" i="8"/>
  <c r="AL60" i="8"/>
  <c r="AM60" i="8"/>
  <c r="D61" i="8"/>
  <c r="E61" i="8"/>
  <c r="F61" i="8"/>
  <c r="G61" i="8"/>
  <c r="H61" i="8"/>
  <c r="I61" i="8"/>
  <c r="J61" i="8"/>
  <c r="K61" i="8"/>
  <c r="L61" i="8"/>
  <c r="M61" i="8"/>
  <c r="N61" i="8"/>
  <c r="O61" i="8"/>
  <c r="P61" i="8"/>
  <c r="Q61" i="8"/>
  <c r="R61" i="8"/>
  <c r="S61" i="8"/>
  <c r="T61" i="8"/>
  <c r="U61" i="8"/>
  <c r="V61" i="8"/>
  <c r="W61" i="8"/>
  <c r="X61" i="8"/>
  <c r="Y61" i="8"/>
  <c r="AA61" i="8"/>
  <c r="AB61" i="8"/>
  <c r="AC61" i="8"/>
  <c r="AD61" i="8"/>
  <c r="AF61" i="8"/>
  <c r="AG61" i="8"/>
  <c r="AH61" i="8"/>
  <c r="AI61" i="8"/>
  <c r="AJ61" i="8"/>
  <c r="AK61" i="8"/>
  <c r="H62" i="8"/>
  <c r="M62" i="8"/>
  <c r="R62" i="8"/>
  <c r="W62" i="8"/>
  <c r="W66" i="8" s="1"/>
  <c r="AB62" i="8"/>
  <c r="AG62" i="8"/>
  <c r="AL62" i="8"/>
  <c r="H63" i="8"/>
  <c r="H66" i="8" s="1"/>
  <c r="M63" i="8"/>
  <c r="R63" i="8"/>
  <c r="W63" i="8"/>
  <c r="AB63" i="8"/>
  <c r="AB66" i="8" s="1"/>
  <c r="AG63" i="8"/>
  <c r="AL63" i="8"/>
  <c r="H64" i="8"/>
  <c r="M64" i="8"/>
  <c r="R64" i="8"/>
  <c r="W64" i="8"/>
  <c r="AB64" i="8"/>
  <c r="AG64" i="8"/>
  <c r="AL64" i="8"/>
  <c r="H65" i="8"/>
  <c r="M65" i="8"/>
  <c r="R65" i="8"/>
  <c r="W65" i="8"/>
  <c r="AB65" i="8"/>
  <c r="AG65" i="8"/>
  <c r="AL65" i="8"/>
  <c r="AL66" i="8" s="1"/>
  <c r="D66" i="8"/>
  <c r="E66" i="8"/>
  <c r="F66" i="8"/>
  <c r="G66" i="8"/>
  <c r="I66" i="8"/>
  <c r="J66" i="8"/>
  <c r="K66" i="8"/>
  <c r="L66" i="8"/>
  <c r="N66" i="8"/>
  <c r="O66" i="8"/>
  <c r="P66" i="8"/>
  <c r="Q66" i="8"/>
  <c r="S66" i="8"/>
  <c r="T66" i="8"/>
  <c r="U66" i="8"/>
  <c r="V66" i="8"/>
  <c r="X66" i="8"/>
  <c r="Y66" i="8"/>
  <c r="Z66" i="8"/>
  <c r="AA66" i="8"/>
  <c r="AC66" i="8"/>
  <c r="AD66" i="8"/>
  <c r="AE66" i="8"/>
  <c r="AF66" i="8"/>
  <c r="AH66" i="8"/>
  <c r="AI66" i="8"/>
  <c r="AJ66" i="8"/>
  <c r="AK66" i="8"/>
  <c r="H67" i="8"/>
  <c r="M67" i="8"/>
  <c r="R67" i="8"/>
  <c r="R71" i="8" s="1"/>
  <c r="W67" i="8"/>
  <c r="AB67" i="8"/>
  <c r="AG67" i="8"/>
  <c r="AL67" i="8"/>
  <c r="AL71" i="8" s="1"/>
  <c r="H68" i="8"/>
  <c r="M68" i="8"/>
  <c r="R68" i="8"/>
  <c r="W68" i="8"/>
  <c r="W71" i="8" s="1"/>
  <c r="AB68" i="8"/>
  <c r="AG68" i="8"/>
  <c r="AL68" i="8"/>
  <c r="H69" i="8"/>
  <c r="M69" i="8"/>
  <c r="R69" i="8"/>
  <c r="W69" i="8"/>
  <c r="AB69" i="8"/>
  <c r="AB71" i="8" s="1"/>
  <c r="AG69" i="8"/>
  <c r="AL69" i="8"/>
  <c r="H70" i="8"/>
  <c r="M70" i="8"/>
  <c r="R70" i="8"/>
  <c r="W70" i="8"/>
  <c r="AB70" i="8"/>
  <c r="AG70" i="8"/>
  <c r="AL70" i="8"/>
  <c r="D71" i="8"/>
  <c r="E71" i="8"/>
  <c r="F71" i="8"/>
  <c r="G71" i="8"/>
  <c r="I71" i="8"/>
  <c r="J71" i="8"/>
  <c r="K71" i="8"/>
  <c r="L71" i="8"/>
  <c r="N71" i="8"/>
  <c r="O71" i="8"/>
  <c r="P71" i="8"/>
  <c r="Q71" i="8"/>
  <c r="S71" i="8"/>
  <c r="T71" i="8"/>
  <c r="U71" i="8"/>
  <c r="V71" i="8"/>
  <c r="X71" i="8"/>
  <c r="Y71" i="8"/>
  <c r="Z71" i="8"/>
  <c r="AA71" i="8"/>
  <c r="AC71" i="8"/>
  <c r="AD71" i="8"/>
  <c r="AE71" i="8"/>
  <c r="AF71" i="8"/>
  <c r="AH71" i="8"/>
  <c r="AI71" i="8"/>
  <c r="AJ71" i="8"/>
  <c r="AK71" i="8"/>
  <c r="H72" i="8"/>
  <c r="M72" i="8"/>
  <c r="R72" i="8"/>
  <c r="W72" i="8"/>
  <c r="AB72" i="8"/>
  <c r="AG72" i="8"/>
  <c r="AL72" i="8"/>
  <c r="H73" i="8"/>
  <c r="M73" i="8"/>
  <c r="R73" i="8"/>
  <c r="R76" i="8" s="1"/>
  <c r="W73" i="8"/>
  <c r="AB73" i="8"/>
  <c r="AG73" i="8"/>
  <c r="AL73" i="8"/>
  <c r="H74" i="8"/>
  <c r="M74" i="8"/>
  <c r="R74" i="8"/>
  <c r="W74" i="8"/>
  <c r="W76" i="8" s="1"/>
  <c r="AB74" i="8"/>
  <c r="AG74" i="8"/>
  <c r="AL74" i="8"/>
  <c r="H75" i="8"/>
  <c r="M75" i="8"/>
  <c r="R75" i="8"/>
  <c r="W75" i="8"/>
  <c r="AB75" i="8"/>
  <c r="AG75" i="8"/>
  <c r="AL75" i="8"/>
  <c r="D76" i="8"/>
  <c r="E76" i="8"/>
  <c r="F76" i="8"/>
  <c r="G76" i="8"/>
  <c r="I76" i="8"/>
  <c r="J76" i="8"/>
  <c r="K76" i="8"/>
  <c r="L76" i="8"/>
  <c r="N76" i="8"/>
  <c r="O76" i="8"/>
  <c r="P76" i="8"/>
  <c r="Q76" i="8"/>
  <c r="S76" i="8"/>
  <c r="T76" i="8"/>
  <c r="U76" i="8"/>
  <c r="V76" i="8"/>
  <c r="X76" i="8"/>
  <c r="Y76" i="8"/>
  <c r="Z76" i="8"/>
  <c r="AA76" i="8"/>
  <c r="AC76" i="8"/>
  <c r="AD76" i="8"/>
  <c r="AE76" i="8"/>
  <c r="AF76" i="8"/>
  <c r="AH76" i="8"/>
  <c r="AI76" i="8"/>
  <c r="AJ76" i="8"/>
  <c r="AK76" i="8"/>
  <c r="H77" i="8"/>
  <c r="M77" i="8"/>
  <c r="R77" i="8"/>
  <c r="W77" i="8"/>
  <c r="AB77" i="8"/>
  <c r="AB81" i="8" s="1"/>
  <c r="AG77" i="8"/>
  <c r="AL77" i="8"/>
  <c r="H78" i="8"/>
  <c r="M78" i="8"/>
  <c r="M81" i="8" s="1"/>
  <c r="R78" i="8"/>
  <c r="W78" i="8"/>
  <c r="AB78" i="8"/>
  <c r="AG78" i="8"/>
  <c r="AG81" i="8" s="1"/>
  <c r="AL78" i="8"/>
  <c r="H79" i="8"/>
  <c r="M79" i="8"/>
  <c r="R79" i="8"/>
  <c r="W79" i="8"/>
  <c r="AB79" i="8"/>
  <c r="AG79" i="8"/>
  <c r="AL79" i="8"/>
  <c r="AL81" i="8" s="1"/>
  <c r="H80" i="8"/>
  <c r="M80" i="8"/>
  <c r="R80" i="8"/>
  <c r="W80" i="8"/>
  <c r="AB80" i="8"/>
  <c r="AG80" i="8"/>
  <c r="AL80" i="8"/>
  <c r="D81" i="8"/>
  <c r="E81" i="8"/>
  <c r="F81" i="8"/>
  <c r="G81" i="8"/>
  <c r="H81" i="8"/>
  <c r="I81" i="8"/>
  <c r="J81" i="8"/>
  <c r="K81" i="8"/>
  <c r="L81" i="8"/>
  <c r="N81" i="8"/>
  <c r="O81" i="8"/>
  <c r="P81" i="8"/>
  <c r="Q81" i="8"/>
  <c r="S81" i="8"/>
  <c r="T81" i="8"/>
  <c r="U81" i="8"/>
  <c r="V81" i="8"/>
  <c r="X81" i="8"/>
  <c r="Y81" i="8"/>
  <c r="Z81" i="8"/>
  <c r="AA81" i="8"/>
  <c r="AC81" i="8"/>
  <c r="AD81" i="8"/>
  <c r="AE81" i="8"/>
  <c r="AF81" i="8"/>
  <c r="AH81" i="8"/>
  <c r="AI81" i="8"/>
  <c r="AJ81" i="8"/>
  <c r="AK81" i="8"/>
  <c r="H82" i="8"/>
  <c r="M82" i="8"/>
  <c r="R82" i="8"/>
  <c r="W82" i="8"/>
  <c r="AB82" i="8"/>
  <c r="AG82" i="8"/>
  <c r="AL82" i="8"/>
  <c r="AL86" i="8" s="1"/>
  <c r="H83" i="8"/>
  <c r="H86" i="8" s="1"/>
  <c r="M83" i="8"/>
  <c r="R83" i="8"/>
  <c r="R86" i="8" s="1"/>
  <c r="W83" i="8"/>
  <c r="AB83" i="8"/>
  <c r="AG83" i="8"/>
  <c r="AL83" i="8"/>
  <c r="H84" i="8"/>
  <c r="M84" i="8"/>
  <c r="R84" i="8"/>
  <c r="W84" i="8"/>
  <c r="W86" i="8" s="1"/>
  <c r="AB84" i="8"/>
  <c r="AG84" i="8"/>
  <c r="AL84" i="8"/>
  <c r="H85" i="8"/>
  <c r="M85" i="8"/>
  <c r="R85" i="8"/>
  <c r="W85" i="8"/>
  <c r="AB85" i="8"/>
  <c r="AB86" i="8" s="1"/>
  <c r="AG85" i="8"/>
  <c r="AL85" i="8"/>
  <c r="D86" i="8"/>
  <c r="E86" i="8"/>
  <c r="F86" i="8"/>
  <c r="G86" i="8"/>
  <c r="I86" i="8"/>
  <c r="J86" i="8"/>
  <c r="K86" i="8"/>
  <c r="L86" i="8"/>
  <c r="N86" i="8"/>
  <c r="O86" i="8"/>
  <c r="P86" i="8"/>
  <c r="Q86" i="8"/>
  <c r="S86" i="8"/>
  <c r="T86" i="8"/>
  <c r="U86" i="8"/>
  <c r="V86" i="8"/>
  <c r="X86" i="8"/>
  <c r="Y86" i="8"/>
  <c r="Z86" i="8"/>
  <c r="AA86" i="8"/>
  <c r="AC86" i="8"/>
  <c r="AD86" i="8"/>
  <c r="AE86" i="8"/>
  <c r="AF86" i="8"/>
  <c r="AH86" i="8"/>
  <c r="AI86" i="8"/>
  <c r="AJ86" i="8"/>
  <c r="AK86" i="8"/>
  <c r="H87" i="8"/>
  <c r="M87" i="8"/>
  <c r="R87" i="8"/>
  <c r="W87" i="8"/>
  <c r="AB87" i="8"/>
  <c r="AB91" i="8" s="1"/>
  <c r="AG87" i="8"/>
  <c r="AL87" i="8"/>
  <c r="H88" i="8"/>
  <c r="M88" i="8"/>
  <c r="R88" i="8"/>
  <c r="W88" i="8"/>
  <c r="AB88" i="8"/>
  <c r="AG88" i="8"/>
  <c r="AL88" i="8"/>
  <c r="H89" i="8"/>
  <c r="M89" i="8"/>
  <c r="R89" i="8"/>
  <c r="R91" i="8" s="1"/>
  <c r="W89" i="8"/>
  <c r="AB89" i="8"/>
  <c r="AG89" i="8"/>
  <c r="AL89" i="8"/>
  <c r="H90" i="8"/>
  <c r="M90" i="8"/>
  <c r="R90" i="8"/>
  <c r="W90" i="8"/>
  <c r="W91" i="8" s="1"/>
  <c r="AB90" i="8"/>
  <c r="AG90" i="8"/>
  <c r="AL90" i="8"/>
  <c r="D91" i="8"/>
  <c r="E91" i="8"/>
  <c r="F91" i="8"/>
  <c r="G91" i="8"/>
  <c r="H91" i="8"/>
  <c r="I91" i="8"/>
  <c r="J91" i="8"/>
  <c r="K91" i="8"/>
  <c r="L91" i="8"/>
  <c r="N91" i="8"/>
  <c r="O91" i="8"/>
  <c r="P91" i="8"/>
  <c r="Q91" i="8"/>
  <c r="S91" i="8"/>
  <c r="T91" i="8"/>
  <c r="U91" i="8"/>
  <c r="V91" i="8"/>
  <c r="X91" i="8"/>
  <c r="Y91" i="8"/>
  <c r="Z91" i="8"/>
  <c r="AA91" i="8"/>
  <c r="AC91" i="8"/>
  <c r="AD91" i="8"/>
  <c r="AE91" i="8"/>
  <c r="AF91" i="8"/>
  <c r="AH91" i="8"/>
  <c r="AI91" i="8"/>
  <c r="AJ91" i="8"/>
  <c r="AK91" i="8"/>
  <c r="AL91" i="8"/>
  <c r="H92" i="8"/>
  <c r="M92" i="8"/>
  <c r="R92" i="8"/>
  <c r="W92" i="8"/>
  <c r="W96" i="8" s="1"/>
  <c r="AB92" i="8"/>
  <c r="AG92" i="8"/>
  <c r="AL92" i="8"/>
  <c r="H93" i="8"/>
  <c r="H96" i="8" s="1"/>
  <c r="M93" i="8"/>
  <c r="R93" i="8"/>
  <c r="W93" i="8"/>
  <c r="AB93" i="8"/>
  <c r="AB96" i="8" s="1"/>
  <c r="AG93" i="8"/>
  <c r="AL93" i="8"/>
  <c r="H94" i="8"/>
  <c r="M94" i="8"/>
  <c r="R94" i="8"/>
  <c r="W94" i="8"/>
  <c r="AB94" i="8"/>
  <c r="AG94" i="8"/>
  <c r="AL94" i="8"/>
  <c r="H95" i="8"/>
  <c r="M95" i="8"/>
  <c r="R95" i="8"/>
  <c r="R96" i="8" s="1"/>
  <c r="W95" i="8"/>
  <c r="AB95" i="8"/>
  <c r="AG95" i="8"/>
  <c r="AL95" i="8"/>
  <c r="AL96" i="8" s="1"/>
  <c r="D96" i="8"/>
  <c r="E96" i="8"/>
  <c r="F96" i="8"/>
  <c r="G96" i="8"/>
  <c r="I96" i="8"/>
  <c r="J96" i="8"/>
  <c r="K96" i="8"/>
  <c r="L96" i="8"/>
  <c r="N96" i="8"/>
  <c r="O96" i="8"/>
  <c r="P96" i="8"/>
  <c r="Q96" i="8"/>
  <c r="S96" i="8"/>
  <c r="T96" i="8"/>
  <c r="U96" i="8"/>
  <c r="V96" i="8"/>
  <c r="X96" i="8"/>
  <c r="Y96" i="8"/>
  <c r="Z96" i="8"/>
  <c r="AA96" i="8"/>
  <c r="AC96" i="8"/>
  <c r="AD96" i="8"/>
  <c r="AE96" i="8"/>
  <c r="AF96" i="8"/>
  <c r="AH96" i="8"/>
  <c r="AI96" i="8"/>
  <c r="AJ96" i="8"/>
  <c r="AK96" i="8"/>
  <c r="H97" i="8"/>
  <c r="M97" i="8"/>
  <c r="R97" i="8"/>
  <c r="R101" i="8" s="1"/>
  <c r="W97" i="8"/>
  <c r="AB97" i="8"/>
  <c r="AG97" i="8"/>
  <c r="AL97" i="8"/>
  <c r="AL101" i="8" s="1"/>
  <c r="H98" i="8"/>
  <c r="M98" i="8"/>
  <c r="R98" i="8"/>
  <c r="W98" i="8"/>
  <c r="W101" i="8" s="1"/>
  <c r="W107" i="8" s="1"/>
  <c r="AB98" i="8"/>
  <c r="AG98" i="8"/>
  <c r="AL98" i="8"/>
  <c r="H99" i="8"/>
  <c r="H101" i="8" s="1"/>
  <c r="M99" i="8"/>
  <c r="R99" i="8"/>
  <c r="W99" i="8"/>
  <c r="AB99" i="8"/>
  <c r="AB101" i="8" s="1"/>
  <c r="AG99" i="8"/>
  <c r="AL99" i="8"/>
  <c r="H100" i="8"/>
  <c r="M100" i="8"/>
  <c r="R100" i="8"/>
  <c r="W100" i="8"/>
  <c r="AB100" i="8"/>
  <c r="AG100" i="8"/>
  <c r="AL100" i="8"/>
  <c r="D101" i="8"/>
  <c r="E101" i="8"/>
  <c r="F101" i="8"/>
  <c r="F107" i="8" s="1"/>
  <c r="G101" i="8"/>
  <c r="I101" i="8"/>
  <c r="J101" i="8"/>
  <c r="J107" i="8" s="1"/>
  <c r="K101" i="8"/>
  <c r="L101" i="8"/>
  <c r="N101" i="8"/>
  <c r="N107" i="8" s="1"/>
  <c r="O101" i="8"/>
  <c r="P101" i="8"/>
  <c r="Q101" i="8"/>
  <c r="S101" i="8"/>
  <c r="T101" i="8"/>
  <c r="U101" i="8"/>
  <c r="V101" i="8"/>
  <c r="X101" i="8"/>
  <c r="Y101" i="8"/>
  <c r="Z101" i="8"/>
  <c r="Z107" i="8" s="1"/>
  <c r="AA101" i="8"/>
  <c r="AA107" i="8" s="1"/>
  <c r="AC101" i="8"/>
  <c r="AD101" i="8"/>
  <c r="AD107" i="8" s="1"/>
  <c r="AE101" i="8"/>
  <c r="AF101" i="8"/>
  <c r="AH101" i="8"/>
  <c r="AH107" i="8" s="1"/>
  <c r="AI101" i="8"/>
  <c r="AJ101" i="8"/>
  <c r="AK101" i="8"/>
  <c r="H102" i="8"/>
  <c r="M102" i="8"/>
  <c r="R102" i="8"/>
  <c r="W102" i="8"/>
  <c r="W106" i="8" s="1"/>
  <c r="AB102" i="8"/>
  <c r="AG102" i="8"/>
  <c r="AL102" i="8"/>
  <c r="H103" i="8"/>
  <c r="H106" i="8" s="1"/>
  <c r="M103" i="8"/>
  <c r="R103" i="8"/>
  <c r="W103" i="8"/>
  <c r="AB103" i="8"/>
  <c r="AG103" i="8"/>
  <c r="AL103" i="8"/>
  <c r="H104" i="8"/>
  <c r="M104" i="8"/>
  <c r="R104" i="8"/>
  <c r="W104" i="8"/>
  <c r="AB104" i="8"/>
  <c r="AG104" i="8"/>
  <c r="AL104" i="8"/>
  <c r="H105" i="8"/>
  <c r="M105" i="8"/>
  <c r="R105" i="8"/>
  <c r="R106" i="8" s="1"/>
  <c r="R107" i="8" s="1"/>
  <c r="W105" i="8"/>
  <c r="AB105" i="8"/>
  <c r="AG105" i="8"/>
  <c r="AL105" i="8"/>
  <c r="AL106" i="8" s="1"/>
  <c r="D106" i="8"/>
  <c r="E106" i="8"/>
  <c r="E107" i="8" s="1"/>
  <c r="F106" i="8"/>
  <c r="G106" i="8"/>
  <c r="G107" i="8" s="1"/>
  <c r="I106" i="8"/>
  <c r="I107" i="8" s="1"/>
  <c r="J106" i="8"/>
  <c r="K106" i="8"/>
  <c r="K107" i="8" s="1"/>
  <c r="L106" i="8"/>
  <c r="N106" i="8"/>
  <c r="O106" i="8"/>
  <c r="P106" i="8"/>
  <c r="P107" i="8" s="1"/>
  <c r="Q106" i="8"/>
  <c r="Q107" i="8" s="1"/>
  <c r="S106" i="8"/>
  <c r="T106" i="8"/>
  <c r="T107" i="8" s="1"/>
  <c r="U106" i="8"/>
  <c r="V106" i="8"/>
  <c r="V107" i="8" s="1"/>
  <c r="X106" i="8"/>
  <c r="X107" i="8" s="1"/>
  <c r="Y106" i="8"/>
  <c r="Z106" i="8"/>
  <c r="AA106" i="8"/>
  <c r="AB106" i="8"/>
  <c r="AC106" i="8"/>
  <c r="AD106" i="8"/>
  <c r="AE106" i="8"/>
  <c r="AF106" i="8"/>
  <c r="AF107" i="8" s="1"/>
  <c r="AH106" i="8"/>
  <c r="AI106" i="8"/>
  <c r="AJ106" i="8"/>
  <c r="AK106" i="8"/>
  <c r="D107" i="8"/>
  <c r="L107" i="8"/>
  <c r="O107" i="8"/>
  <c r="S107" i="8"/>
  <c r="AB107" i="8"/>
  <c r="AE107" i="8"/>
  <c r="AI107" i="8"/>
  <c r="AJ107" i="8"/>
  <c r="H108" i="8"/>
  <c r="M108" i="8"/>
  <c r="R108" i="8"/>
  <c r="R112" i="8" s="1"/>
  <c r="W108" i="8"/>
  <c r="AB108" i="8"/>
  <c r="AG108" i="8"/>
  <c r="AL108" i="8"/>
  <c r="H109" i="8"/>
  <c r="M109" i="8"/>
  <c r="R109" i="8"/>
  <c r="W109" i="8"/>
  <c r="AB109" i="8"/>
  <c r="AG109" i="8"/>
  <c r="AL109" i="8"/>
  <c r="H110" i="8"/>
  <c r="H112" i="8" s="1"/>
  <c r="M110" i="8"/>
  <c r="R110" i="8"/>
  <c r="W110" i="8"/>
  <c r="AB110" i="8"/>
  <c r="AG110" i="8"/>
  <c r="AL110" i="8"/>
  <c r="H111" i="8"/>
  <c r="M111" i="8"/>
  <c r="R111" i="8"/>
  <c r="W111" i="8"/>
  <c r="AB111" i="8"/>
  <c r="AG111" i="8"/>
  <c r="AL111" i="8"/>
  <c r="D112" i="8"/>
  <c r="E112" i="8"/>
  <c r="F112" i="8"/>
  <c r="G112" i="8"/>
  <c r="I112" i="8"/>
  <c r="J112" i="8"/>
  <c r="K112" i="8"/>
  <c r="L112" i="8"/>
  <c r="N112" i="8"/>
  <c r="O112" i="8"/>
  <c r="P112" i="8"/>
  <c r="Q112" i="8"/>
  <c r="S112" i="8"/>
  <c r="T112" i="8"/>
  <c r="U112" i="8"/>
  <c r="V112" i="8"/>
  <c r="W112" i="8"/>
  <c r="X112" i="8"/>
  <c r="Y112" i="8"/>
  <c r="Z112" i="8"/>
  <c r="AA112" i="8"/>
  <c r="AC112" i="8"/>
  <c r="AD112" i="8"/>
  <c r="AE112" i="8"/>
  <c r="AF112" i="8"/>
  <c r="AH112" i="8"/>
  <c r="AI112" i="8"/>
  <c r="AJ112" i="8"/>
  <c r="AK112" i="8"/>
  <c r="AL112" i="8"/>
  <c r="H113" i="8"/>
  <c r="M113" i="8"/>
  <c r="R113" i="8"/>
  <c r="W113" i="8"/>
  <c r="W117" i="8" s="1"/>
  <c r="AB113" i="8"/>
  <c r="AG113" i="8"/>
  <c r="AL113" i="8"/>
  <c r="H114" i="8"/>
  <c r="H117" i="8" s="1"/>
  <c r="M114" i="8"/>
  <c r="M117" i="8" s="1"/>
  <c r="R114" i="8"/>
  <c r="W114" i="8"/>
  <c r="AB114" i="8"/>
  <c r="AG114" i="8"/>
  <c r="AL114" i="8"/>
  <c r="H115" i="8"/>
  <c r="M115" i="8"/>
  <c r="R115" i="8"/>
  <c r="W115" i="8"/>
  <c r="AB115" i="8"/>
  <c r="AG115" i="8"/>
  <c r="AG117" i="8" s="1"/>
  <c r="AL115" i="8"/>
  <c r="H116" i="8"/>
  <c r="M116" i="8"/>
  <c r="R116" i="8"/>
  <c r="W116" i="8"/>
  <c r="AB116" i="8"/>
  <c r="AG116" i="8"/>
  <c r="AL116" i="8"/>
  <c r="D117" i="8"/>
  <c r="E117" i="8"/>
  <c r="F117" i="8"/>
  <c r="G117" i="8"/>
  <c r="I117" i="8"/>
  <c r="J117" i="8"/>
  <c r="K117" i="8"/>
  <c r="L117" i="8"/>
  <c r="N117" i="8"/>
  <c r="O117" i="8"/>
  <c r="P117" i="8"/>
  <c r="Q117" i="8"/>
  <c r="S117" i="8"/>
  <c r="T117" i="8"/>
  <c r="U117" i="8"/>
  <c r="V117" i="8"/>
  <c r="X117" i="8"/>
  <c r="Y117" i="8"/>
  <c r="Z117" i="8"/>
  <c r="AA117" i="8"/>
  <c r="AB117" i="8"/>
  <c r="AC117" i="8"/>
  <c r="AD117" i="8"/>
  <c r="AE117" i="8"/>
  <c r="AF117" i="8"/>
  <c r="AH117" i="8"/>
  <c r="AI117" i="8"/>
  <c r="AJ117" i="8"/>
  <c r="AK117" i="8"/>
  <c r="H118" i="8"/>
  <c r="M118" i="8"/>
  <c r="R118" i="8"/>
  <c r="R122" i="8" s="1"/>
  <c r="W118" i="8"/>
  <c r="AB118" i="8"/>
  <c r="AG118" i="8"/>
  <c r="AL118" i="8"/>
  <c r="AL122" i="8" s="1"/>
  <c r="AL128" i="8" s="1"/>
  <c r="H119" i="8"/>
  <c r="M119" i="8"/>
  <c r="R119" i="8"/>
  <c r="W119" i="8"/>
  <c r="AB119" i="8"/>
  <c r="AG119" i="8"/>
  <c r="AL119" i="8"/>
  <c r="H120" i="8"/>
  <c r="H122" i="8" s="1"/>
  <c r="M120" i="8"/>
  <c r="R120" i="8"/>
  <c r="W120" i="8"/>
  <c r="AB120" i="8"/>
  <c r="AG120" i="8"/>
  <c r="AL120" i="8"/>
  <c r="H121" i="8"/>
  <c r="M121" i="8"/>
  <c r="R121" i="8"/>
  <c r="W121" i="8"/>
  <c r="AB121" i="8"/>
  <c r="AG121" i="8"/>
  <c r="AG122" i="8" s="1"/>
  <c r="AL121" i="8"/>
  <c r="D122" i="8"/>
  <c r="E122" i="8"/>
  <c r="F122" i="8"/>
  <c r="F128" i="8" s="1"/>
  <c r="G122" i="8"/>
  <c r="I122" i="8"/>
  <c r="J122" i="8"/>
  <c r="J128" i="8" s="1"/>
  <c r="K122" i="8"/>
  <c r="L122" i="8"/>
  <c r="N122" i="8"/>
  <c r="O122" i="8"/>
  <c r="P122" i="8"/>
  <c r="Q122" i="8"/>
  <c r="S122" i="8"/>
  <c r="S128" i="8" s="1"/>
  <c r="T122" i="8"/>
  <c r="U122" i="8"/>
  <c r="V122" i="8"/>
  <c r="W122" i="8"/>
  <c r="X122" i="8"/>
  <c r="Y122" i="8"/>
  <c r="Z122" i="8"/>
  <c r="AA122" i="8"/>
  <c r="AC122" i="8"/>
  <c r="AD122" i="8"/>
  <c r="AE122" i="8"/>
  <c r="AF122" i="8"/>
  <c r="AH122" i="8"/>
  <c r="AI122" i="8"/>
  <c r="AJ122" i="8"/>
  <c r="AK122" i="8"/>
  <c r="H123" i="8"/>
  <c r="M123" i="8"/>
  <c r="R123" i="8"/>
  <c r="W123" i="8"/>
  <c r="AB123" i="8"/>
  <c r="AG123" i="8"/>
  <c r="AL123" i="8"/>
  <c r="H124" i="8"/>
  <c r="H127" i="8" s="1"/>
  <c r="M124" i="8"/>
  <c r="R124" i="8"/>
  <c r="W124" i="8"/>
  <c r="AB124" i="8"/>
  <c r="AG124" i="8"/>
  <c r="AL124" i="8"/>
  <c r="H125" i="8"/>
  <c r="M125" i="8"/>
  <c r="R125" i="8"/>
  <c r="W125" i="8"/>
  <c r="AB125" i="8"/>
  <c r="AG125" i="8"/>
  <c r="AL125" i="8"/>
  <c r="H126" i="8"/>
  <c r="M126" i="8"/>
  <c r="R126" i="8"/>
  <c r="W126" i="8"/>
  <c r="AB126" i="8"/>
  <c r="AG126" i="8"/>
  <c r="AL126" i="8"/>
  <c r="D127" i="8"/>
  <c r="E127" i="8"/>
  <c r="E128" i="8" s="1"/>
  <c r="F127" i="8"/>
  <c r="G127" i="8"/>
  <c r="I127" i="8"/>
  <c r="I128" i="8" s="1"/>
  <c r="J127" i="8"/>
  <c r="K127" i="8"/>
  <c r="K128" i="8" s="1"/>
  <c r="L127" i="8"/>
  <c r="N127" i="8"/>
  <c r="O127" i="8"/>
  <c r="P127" i="8"/>
  <c r="P128" i="8" s="1"/>
  <c r="Q127" i="8"/>
  <c r="Q128" i="8" s="1"/>
  <c r="R127" i="8"/>
  <c r="S127" i="8"/>
  <c r="T127" i="8"/>
  <c r="U127" i="8"/>
  <c r="U128" i="8" s="1"/>
  <c r="V127" i="8"/>
  <c r="X127" i="8"/>
  <c r="X128" i="8" s="1"/>
  <c r="Y127" i="8"/>
  <c r="Y128" i="8" s="1"/>
  <c r="Z127" i="8"/>
  <c r="AA127" i="8"/>
  <c r="AB127" i="8"/>
  <c r="AC127" i="8"/>
  <c r="AC128" i="8" s="1"/>
  <c r="AD127" i="8"/>
  <c r="AE127" i="8"/>
  <c r="AF127" i="8"/>
  <c r="AH127" i="8"/>
  <c r="AI127" i="8"/>
  <c r="AJ127" i="8"/>
  <c r="AK127" i="8"/>
  <c r="AK128" i="8" s="1"/>
  <c r="AL127" i="8"/>
  <c r="D128" i="8"/>
  <c r="G128" i="8"/>
  <c r="L128" i="8"/>
  <c r="N128" i="8"/>
  <c r="O128" i="8"/>
  <c r="T128" i="8"/>
  <c r="V128" i="8"/>
  <c r="Z128" i="8"/>
  <c r="AA128" i="8"/>
  <c r="AD128" i="8"/>
  <c r="AE128" i="8"/>
  <c r="AF128" i="8"/>
  <c r="AH128" i="8"/>
  <c r="AI128" i="8"/>
  <c r="AJ128" i="8"/>
  <c r="H129" i="8"/>
  <c r="M129" i="8"/>
  <c r="R129" i="8"/>
  <c r="W129" i="8"/>
  <c r="AB129" i="8"/>
  <c r="AG129" i="8"/>
  <c r="AL129" i="8"/>
  <c r="H130" i="8"/>
  <c r="H133" i="8" s="1"/>
  <c r="M130" i="8"/>
  <c r="M133" i="8" s="1"/>
  <c r="R130" i="8"/>
  <c r="W130" i="8"/>
  <c r="AB130" i="8"/>
  <c r="AB133" i="8" s="1"/>
  <c r="AG130" i="8"/>
  <c r="AG133" i="8" s="1"/>
  <c r="AL130" i="8"/>
  <c r="H131" i="8"/>
  <c r="M131" i="8"/>
  <c r="R131" i="8"/>
  <c r="W131" i="8"/>
  <c r="AB131" i="8"/>
  <c r="AG131" i="8"/>
  <c r="AL131" i="8"/>
  <c r="H132" i="8"/>
  <c r="M132" i="8"/>
  <c r="R132" i="8"/>
  <c r="R133" i="8" s="1"/>
  <c r="W132" i="8"/>
  <c r="AB132" i="8"/>
  <c r="AG132" i="8"/>
  <c r="AL132" i="8"/>
  <c r="AL133" i="8" s="1"/>
  <c r="D133" i="8"/>
  <c r="E133" i="8"/>
  <c r="F133" i="8"/>
  <c r="G133" i="8"/>
  <c r="I133" i="8"/>
  <c r="J133" i="8"/>
  <c r="K133" i="8"/>
  <c r="L133" i="8"/>
  <c r="N133" i="8"/>
  <c r="O133" i="8"/>
  <c r="P133" i="8"/>
  <c r="Q133" i="8"/>
  <c r="S133" i="8"/>
  <c r="T133" i="8"/>
  <c r="U133" i="8"/>
  <c r="V133" i="8"/>
  <c r="W133" i="8"/>
  <c r="X133" i="8"/>
  <c r="Y133" i="8"/>
  <c r="Z133" i="8"/>
  <c r="AA133" i="8"/>
  <c r="AC133" i="8"/>
  <c r="AD133" i="8"/>
  <c r="AE133" i="8"/>
  <c r="AF133" i="8"/>
  <c r="AH133" i="8"/>
  <c r="AI133" i="8"/>
  <c r="AJ133" i="8"/>
  <c r="AK133" i="8"/>
  <c r="H134" i="8"/>
  <c r="M134" i="8"/>
  <c r="R134" i="8"/>
  <c r="W134" i="8"/>
  <c r="AB134" i="8"/>
  <c r="AG134" i="8"/>
  <c r="AL134" i="8"/>
  <c r="H135" i="8"/>
  <c r="M135" i="8"/>
  <c r="M138" i="8" s="1"/>
  <c r="R135" i="8"/>
  <c r="R138" i="8" s="1"/>
  <c r="W135" i="8"/>
  <c r="AB135" i="8"/>
  <c r="AG135" i="8"/>
  <c r="AG138" i="8" s="1"/>
  <c r="AL135" i="8"/>
  <c r="H136" i="8"/>
  <c r="M136" i="8"/>
  <c r="R136" i="8"/>
  <c r="W136" i="8"/>
  <c r="AB136" i="8"/>
  <c r="AG136" i="8"/>
  <c r="AL136" i="8"/>
  <c r="AL138" i="8" s="1"/>
  <c r="H137" i="8"/>
  <c r="M137" i="8"/>
  <c r="R137" i="8"/>
  <c r="W137" i="8"/>
  <c r="W138" i="8" s="1"/>
  <c r="AB137" i="8"/>
  <c r="AG137" i="8"/>
  <c r="AL137" i="8"/>
  <c r="D138" i="8"/>
  <c r="E138" i="8"/>
  <c r="F138" i="8"/>
  <c r="G138" i="8"/>
  <c r="H138" i="8"/>
  <c r="I138" i="8"/>
  <c r="J138" i="8"/>
  <c r="K138" i="8"/>
  <c r="L138" i="8"/>
  <c r="N138" i="8"/>
  <c r="O138" i="8"/>
  <c r="P138" i="8"/>
  <c r="Q138" i="8"/>
  <c r="S138" i="8"/>
  <c r="T138" i="8"/>
  <c r="U138" i="8"/>
  <c r="V138" i="8"/>
  <c r="X138" i="8"/>
  <c r="Y138" i="8"/>
  <c r="Z138" i="8"/>
  <c r="AA138" i="8"/>
  <c r="AB138" i="8"/>
  <c r="AC138" i="8"/>
  <c r="AD138" i="8"/>
  <c r="AE138" i="8"/>
  <c r="AF138" i="8"/>
  <c r="AH138" i="8"/>
  <c r="AI138" i="8"/>
  <c r="AJ138" i="8"/>
  <c r="AK138" i="8"/>
  <c r="H139" i="8"/>
  <c r="M139" i="8"/>
  <c r="R139" i="8"/>
  <c r="W139" i="8"/>
  <c r="AB139" i="8"/>
  <c r="AG139" i="8"/>
  <c r="AL139" i="8"/>
  <c r="H140" i="8"/>
  <c r="M140" i="8"/>
  <c r="R140" i="8"/>
  <c r="R143" i="8" s="1"/>
  <c r="R144" i="8" s="1"/>
  <c r="W140" i="8"/>
  <c r="W143" i="8" s="1"/>
  <c r="W144" i="8" s="1"/>
  <c r="AB140" i="8"/>
  <c r="AG140" i="8"/>
  <c r="AL140" i="8"/>
  <c r="AL143" i="8" s="1"/>
  <c r="H141" i="8"/>
  <c r="M141" i="8"/>
  <c r="R141" i="8"/>
  <c r="W141" i="8"/>
  <c r="AB141" i="8"/>
  <c r="AG141" i="8"/>
  <c r="AL141" i="8"/>
  <c r="H142" i="8"/>
  <c r="H143" i="8" s="1"/>
  <c r="H144" i="8" s="1"/>
  <c r="M142" i="8"/>
  <c r="R142" i="8"/>
  <c r="W142" i="8"/>
  <c r="AB142" i="8"/>
  <c r="AB143" i="8" s="1"/>
  <c r="AB144" i="8" s="1"/>
  <c r="AG142" i="8"/>
  <c r="AL142" i="8"/>
  <c r="D143" i="8"/>
  <c r="D144" i="8" s="1"/>
  <c r="E143" i="8"/>
  <c r="E144" i="8" s="1"/>
  <c r="F143" i="8"/>
  <c r="G143" i="8"/>
  <c r="I143" i="8"/>
  <c r="I144" i="8" s="1"/>
  <c r="J143" i="8"/>
  <c r="K143" i="8"/>
  <c r="L143" i="8"/>
  <c r="L144" i="8" s="1"/>
  <c r="M143" i="8"/>
  <c r="N143" i="8"/>
  <c r="O143" i="8"/>
  <c r="P143" i="8"/>
  <c r="P144" i="8" s="1"/>
  <c r="Q143" i="8"/>
  <c r="Q144" i="8" s="1"/>
  <c r="S143" i="8"/>
  <c r="T143" i="8"/>
  <c r="T144" i="8" s="1"/>
  <c r="U143" i="8"/>
  <c r="U144" i="8" s="1"/>
  <c r="V143" i="8"/>
  <c r="X143" i="8"/>
  <c r="X144" i="8" s="1"/>
  <c r="Y143" i="8"/>
  <c r="Y144" i="8" s="1"/>
  <c r="Z143" i="8"/>
  <c r="AA143" i="8"/>
  <c r="AC143" i="8"/>
  <c r="AC144" i="8" s="1"/>
  <c r="AD143" i="8"/>
  <c r="AE143" i="8"/>
  <c r="AF143" i="8"/>
  <c r="AF144" i="8" s="1"/>
  <c r="AG143" i="8"/>
  <c r="AG144" i="8" s="1"/>
  <c r="AH143" i="8"/>
  <c r="AI143" i="8"/>
  <c r="AJ143" i="8"/>
  <c r="AJ144" i="8" s="1"/>
  <c r="AK143" i="8"/>
  <c r="AK144" i="8" s="1"/>
  <c r="F144" i="8"/>
  <c r="G144" i="8"/>
  <c r="J144" i="8"/>
  <c r="K144" i="8"/>
  <c r="N144" i="8"/>
  <c r="O144" i="8"/>
  <c r="S144" i="8"/>
  <c r="V144" i="8"/>
  <c r="Z144" i="8"/>
  <c r="AA144" i="8"/>
  <c r="AD144" i="8"/>
  <c r="AE144" i="8"/>
  <c r="AH144" i="8"/>
  <c r="AI144" i="8"/>
  <c r="H145" i="8"/>
  <c r="M145" i="8"/>
  <c r="R145" i="8"/>
  <c r="W145" i="8"/>
  <c r="AB145" i="8"/>
  <c r="AG145" i="8"/>
  <c r="AL145" i="8"/>
  <c r="H146" i="8"/>
  <c r="H149" i="8" s="1"/>
  <c r="M146" i="8"/>
  <c r="M149" i="8" s="1"/>
  <c r="R146" i="8"/>
  <c r="W146" i="8"/>
  <c r="AB146" i="8"/>
  <c r="AB149" i="8" s="1"/>
  <c r="AG146" i="8"/>
  <c r="AG149" i="8" s="1"/>
  <c r="AL146" i="8"/>
  <c r="H147" i="8"/>
  <c r="M147" i="8"/>
  <c r="R147" i="8"/>
  <c r="W147" i="8"/>
  <c r="AB147" i="8"/>
  <c r="AG147" i="8"/>
  <c r="AL147" i="8"/>
  <c r="H148" i="8"/>
  <c r="M148" i="8"/>
  <c r="R148" i="8"/>
  <c r="R149" i="8" s="1"/>
  <c r="W148" i="8"/>
  <c r="AB148" i="8"/>
  <c r="AG148" i="8"/>
  <c r="AL148" i="8"/>
  <c r="AL149" i="8" s="1"/>
  <c r="D149" i="8"/>
  <c r="E149" i="8"/>
  <c r="F149" i="8"/>
  <c r="G149" i="8"/>
  <c r="I149" i="8"/>
  <c r="J149" i="8"/>
  <c r="K149" i="8"/>
  <c r="L149" i="8"/>
  <c r="N149" i="8"/>
  <c r="O149" i="8"/>
  <c r="P149" i="8"/>
  <c r="Q149" i="8"/>
  <c r="S149" i="8"/>
  <c r="T149" i="8"/>
  <c r="U149" i="8"/>
  <c r="V149" i="8"/>
  <c r="W149" i="8"/>
  <c r="X149" i="8"/>
  <c r="Y149" i="8"/>
  <c r="Z149" i="8"/>
  <c r="AA149" i="8"/>
  <c r="AC149" i="8"/>
  <c r="AD149" i="8"/>
  <c r="AE149" i="8"/>
  <c r="AF149" i="8"/>
  <c r="AH149" i="8"/>
  <c r="AI149" i="8"/>
  <c r="AJ149" i="8"/>
  <c r="AK149" i="8"/>
  <c r="H150" i="8"/>
  <c r="M150" i="8"/>
  <c r="R150" i="8"/>
  <c r="W150" i="8"/>
  <c r="AB150" i="8"/>
  <c r="AG150" i="8"/>
  <c r="AL150" i="8"/>
  <c r="H151" i="8"/>
  <c r="M151" i="8"/>
  <c r="R151" i="8"/>
  <c r="R154" i="8" s="1"/>
  <c r="W151" i="8"/>
  <c r="AB151" i="8"/>
  <c r="AG151" i="8"/>
  <c r="AG154" i="8" s="1"/>
  <c r="AL151" i="8"/>
  <c r="AL154" i="8" s="1"/>
  <c r="H152" i="8"/>
  <c r="M152" i="8"/>
  <c r="R152" i="8"/>
  <c r="W152" i="8"/>
  <c r="AB152" i="8"/>
  <c r="AG152" i="8"/>
  <c r="AL152" i="8"/>
  <c r="H153" i="8"/>
  <c r="M153" i="8"/>
  <c r="R153" i="8"/>
  <c r="W153" i="8"/>
  <c r="W154" i="8" s="1"/>
  <c r="AB153" i="8"/>
  <c r="AG153" i="8"/>
  <c r="AL153" i="8"/>
  <c r="D154" i="8"/>
  <c r="E154" i="8"/>
  <c r="F154" i="8"/>
  <c r="G154" i="8"/>
  <c r="H154" i="8"/>
  <c r="I154" i="8"/>
  <c r="J154" i="8"/>
  <c r="K154" i="8"/>
  <c r="L154" i="8"/>
  <c r="N154" i="8"/>
  <c r="O154" i="8"/>
  <c r="P154" i="8"/>
  <c r="Q154" i="8"/>
  <c r="S154" i="8"/>
  <c r="T154" i="8"/>
  <c r="U154" i="8"/>
  <c r="V154" i="8"/>
  <c r="X154" i="8"/>
  <c r="Y154" i="8"/>
  <c r="Z154" i="8"/>
  <c r="AA154" i="8"/>
  <c r="AB154" i="8"/>
  <c r="AC154" i="8"/>
  <c r="AD154" i="8"/>
  <c r="AE154" i="8"/>
  <c r="AF154" i="8"/>
  <c r="AH154" i="8"/>
  <c r="AI154" i="8"/>
  <c r="AJ154" i="8"/>
  <c r="AK154" i="8"/>
  <c r="H155" i="8"/>
  <c r="M155" i="8"/>
  <c r="R155" i="8"/>
  <c r="W155" i="8"/>
  <c r="AB155" i="8"/>
  <c r="AG155" i="8"/>
  <c r="AL155" i="8"/>
  <c r="H156" i="8"/>
  <c r="M156" i="8"/>
  <c r="R156" i="8"/>
  <c r="R159" i="8" s="1"/>
  <c r="W156" i="8"/>
  <c r="W159" i="8" s="1"/>
  <c r="AB156" i="8"/>
  <c r="AG156" i="8"/>
  <c r="AL156" i="8"/>
  <c r="AL159" i="8" s="1"/>
  <c r="H157" i="8"/>
  <c r="M157" i="8"/>
  <c r="R157" i="8"/>
  <c r="W157" i="8"/>
  <c r="AB157" i="8"/>
  <c r="AG157" i="8"/>
  <c r="AL157" i="8"/>
  <c r="H158" i="8"/>
  <c r="H159" i="8" s="1"/>
  <c r="M158" i="8"/>
  <c r="R158" i="8"/>
  <c r="W158" i="8"/>
  <c r="AB158" i="8"/>
  <c r="AB159" i="8" s="1"/>
  <c r="AG158" i="8"/>
  <c r="AL158" i="8"/>
  <c r="D159" i="8"/>
  <c r="E159" i="8"/>
  <c r="F159" i="8"/>
  <c r="G159" i="8"/>
  <c r="I159" i="8"/>
  <c r="J159" i="8"/>
  <c r="K159" i="8"/>
  <c r="L159" i="8"/>
  <c r="M159" i="8"/>
  <c r="N159" i="8"/>
  <c r="O159" i="8"/>
  <c r="P159" i="8"/>
  <c r="Q159" i="8"/>
  <c r="S159" i="8"/>
  <c r="T159" i="8"/>
  <c r="U159" i="8"/>
  <c r="V159" i="8"/>
  <c r="X159" i="8"/>
  <c r="Y159" i="8"/>
  <c r="Z159" i="8"/>
  <c r="AA159" i="8"/>
  <c r="AC159" i="8"/>
  <c r="AD159" i="8"/>
  <c r="AE159" i="8"/>
  <c r="AF159" i="8"/>
  <c r="AG159" i="8"/>
  <c r="AH159" i="8"/>
  <c r="AI159" i="8"/>
  <c r="AJ159" i="8"/>
  <c r="AK159" i="8"/>
  <c r="H160" i="8"/>
  <c r="M160" i="8"/>
  <c r="R160" i="8"/>
  <c r="W160" i="8"/>
  <c r="AB160" i="8"/>
  <c r="AG160" i="8"/>
  <c r="AL160" i="8"/>
  <c r="H161" i="8"/>
  <c r="H164" i="8" s="1"/>
  <c r="M161" i="8"/>
  <c r="R161" i="8"/>
  <c r="W161" i="8"/>
  <c r="W164" i="8" s="1"/>
  <c r="AB161" i="8"/>
  <c r="AB164" i="8" s="1"/>
  <c r="AG161" i="8"/>
  <c r="AL161" i="8"/>
  <c r="H162" i="8"/>
  <c r="M162" i="8"/>
  <c r="R162" i="8"/>
  <c r="W162" i="8"/>
  <c r="AB162" i="8"/>
  <c r="AG162" i="8"/>
  <c r="AL162" i="8"/>
  <c r="H163" i="8"/>
  <c r="M163" i="8"/>
  <c r="R163" i="8"/>
  <c r="W163" i="8"/>
  <c r="AB163" i="8"/>
  <c r="AG163" i="8"/>
  <c r="AG164" i="8" s="1"/>
  <c r="AL163" i="8"/>
  <c r="D164" i="8"/>
  <c r="E164" i="8"/>
  <c r="F164" i="8"/>
  <c r="G164" i="8"/>
  <c r="I164" i="8"/>
  <c r="J164" i="8"/>
  <c r="K164" i="8"/>
  <c r="L164" i="8"/>
  <c r="N164" i="8"/>
  <c r="O164" i="8"/>
  <c r="P164" i="8"/>
  <c r="Q164" i="8"/>
  <c r="R164" i="8"/>
  <c r="S164" i="8"/>
  <c r="T164" i="8"/>
  <c r="U164" i="8"/>
  <c r="V164" i="8"/>
  <c r="X164" i="8"/>
  <c r="Y164" i="8"/>
  <c r="Z164" i="8"/>
  <c r="AA164" i="8"/>
  <c r="AC164" i="8"/>
  <c r="AD164" i="8"/>
  <c r="AE164" i="8"/>
  <c r="AF164" i="8"/>
  <c r="AH164" i="8"/>
  <c r="AI164" i="8"/>
  <c r="AJ164" i="8"/>
  <c r="AK164" i="8"/>
  <c r="AL164" i="8"/>
  <c r="H165" i="8"/>
  <c r="M165" i="8"/>
  <c r="R165" i="8"/>
  <c r="W165" i="8"/>
  <c r="AB165" i="8"/>
  <c r="AG165" i="8"/>
  <c r="AL165" i="8"/>
  <c r="H166" i="8"/>
  <c r="H169" i="8" s="1"/>
  <c r="M166" i="8"/>
  <c r="M169" i="8" s="1"/>
  <c r="R166" i="8"/>
  <c r="W166" i="8"/>
  <c r="AB166" i="8"/>
  <c r="AB169" i="8" s="1"/>
  <c r="AG166" i="8"/>
  <c r="AG169" i="8" s="1"/>
  <c r="AL166" i="8"/>
  <c r="H167" i="8"/>
  <c r="M167" i="8"/>
  <c r="R167" i="8"/>
  <c r="W167" i="8"/>
  <c r="AB167" i="8"/>
  <c r="AG167" i="8"/>
  <c r="AL167" i="8"/>
  <c r="H168" i="8"/>
  <c r="M168" i="8"/>
  <c r="R168" i="8"/>
  <c r="R169" i="8" s="1"/>
  <c r="W168" i="8"/>
  <c r="AB168" i="8"/>
  <c r="AG168" i="8"/>
  <c r="AL168" i="8"/>
  <c r="AL169" i="8" s="1"/>
  <c r="D169" i="8"/>
  <c r="E169" i="8"/>
  <c r="F169" i="8"/>
  <c r="G169" i="8"/>
  <c r="I169" i="8"/>
  <c r="J169" i="8"/>
  <c r="K169" i="8"/>
  <c r="L169" i="8"/>
  <c r="N169" i="8"/>
  <c r="O169" i="8"/>
  <c r="P169" i="8"/>
  <c r="Q169" i="8"/>
  <c r="S169" i="8"/>
  <c r="T169" i="8"/>
  <c r="U169" i="8"/>
  <c r="V169" i="8"/>
  <c r="W169" i="8"/>
  <c r="X169" i="8"/>
  <c r="Y169" i="8"/>
  <c r="Z169" i="8"/>
  <c r="AA169" i="8"/>
  <c r="AC169" i="8"/>
  <c r="AD169" i="8"/>
  <c r="AE169" i="8"/>
  <c r="AF169" i="8"/>
  <c r="AH169" i="8"/>
  <c r="AI169" i="8"/>
  <c r="AJ169" i="8"/>
  <c r="AK169" i="8"/>
  <c r="H170" i="8"/>
  <c r="M170" i="8"/>
  <c r="R170" i="8"/>
  <c r="W170" i="8"/>
  <c r="AB170" i="8"/>
  <c r="AG170" i="8"/>
  <c r="AL170" i="8"/>
  <c r="H171" i="8"/>
  <c r="M171" i="8"/>
  <c r="R171" i="8"/>
  <c r="R174" i="8" s="1"/>
  <c r="W171" i="8"/>
  <c r="AB171" i="8"/>
  <c r="AG171" i="8"/>
  <c r="AG174" i="8" s="1"/>
  <c r="AL171" i="8"/>
  <c r="AL174" i="8" s="1"/>
  <c r="H172" i="8"/>
  <c r="M172" i="8"/>
  <c r="R172" i="8"/>
  <c r="W172" i="8"/>
  <c r="AB172" i="8"/>
  <c r="AG172" i="8"/>
  <c r="AL172" i="8"/>
  <c r="H173" i="8"/>
  <c r="M173" i="8"/>
  <c r="R173" i="8"/>
  <c r="W173" i="8"/>
  <c r="W174" i="8" s="1"/>
  <c r="AB173" i="8"/>
  <c r="AG173" i="8"/>
  <c r="AL173" i="8"/>
  <c r="D174" i="8"/>
  <c r="E174" i="8"/>
  <c r="F174" i="8"/>
  <c r="G174" i="8"/>
  <c r="H174" i="8"/>
  <c r="I174" i="8"/>
  <c r="J174" i="8"/>
  <c r="K174" i="8"/>
  <c r="L174" i="8"/>
  <c r="N174" i="8"/>
  <c r="O174" i="8"/>
  <c r="P174" i="8"/>
  <c r="Q174" i="8"/>
  <c r="S174" i="8"/>
  <c r="T174" i="8"/>
  <c r="U174" i="8"/>
  <c r="V174" i="8"/>
  <c r="X174" i="8"/>
  <c r="Y174" i="8"/>
  <c r="Z174" i="8"/>
  <c r="AA174" i="8"/>
  <c r="AB174" i="8"/>
  <c r="AC174" i="8"/>
  <c r="AD174" i="8"/>
  <c r="AE174" i="8"/>
  <c r="AF174" i="8"/>
  <c r="AH174" i="8"/>
  <c r="AI174" i="8"/>
  <c r="AJ174" i="8"/>
  <c r="AK174" i="8"/>
  <c r="H175" i="8"/>
  <c r="M175" i="8"/>
  <c r="R175" i="8"/>
  <c r="W175" i="8"/>
  <c r="AB175" i="8"/>
  <c r="AG175" i="8"/>
  <c r="AL175" i="8"/>
  <c r="H176" i="8"/>
  <c r="M176" i="8"/>
  <c r="R176" i="8"/>
  <c r="R179" i="8" s="1"/>
  <c r="W176" i="8"/>
  <c r="W179" i="8" s="1"/>
  <c r="AB176" i="8"/>
  <c r="AG176" i="8"/>
  <c r="AL176" i="8"/>
  <c r="AL179" i="8" s="1"/>
  <c r="H177" i="8"/>
  <c r="M177" i="8"/>
  <c r="R177" i="8"/>
  <c r="W177" i="8"/>
  <c r="AB177" i="8"/>
  <c r="AG177" i="8"/>
  <c r="AL177" i="8"/>
  <c r="H178" i="8"/>
  <c r="H179" i="8" s="1"/>
  <c r="M178" i="8"/>
  <c r="R178" i="8"/>
  <c r="W178" i="8"/>
  <c r="AB178" i="8"/>
  <c r="AB179" i="8" s="1"/>
  <c r="AG178" i="8"/>
  <c r="AL178" i="8"/>
  <c r="D179" i="8"/>
  <c r="E179" i="8"/>
  <c r="F179" i="8"/>
  <c r="G179" i="8"/>
  <c r="I179" i="8"/>
  <c r="J179" i="8"/>
  <c r="K179" i="8"/>
  <c r="L179" i="8"/>
  <c r="M179" i="8"/>
  <c r="N179" i="8"/>
  <c r="O179" i="8"/>
  <c r="P179" i="8"/>
  <c r="Q179" i="8"/>
  <c r="S179" i="8"/>
  <c r="T179" i="8"/>
  <c r="U179" i="8"/>
  <c r="V179" i="8"/>
  <c r="X179" i="8"/>
  <c r="Y179" i="8"/>
  <c r="Z179" i="8"/>
  <c r="AA179" i="8"/>
  <c r="AC179" i="8"/>
  <c r="AD179" i="8"/>
  <c r="AE179" i="8"/>
  <c r="AF179" i="8"/>
  <c r="AG179" i="8"/>
  <c r="AH179" i="8"/>
  <c r="AI179" i="8"/>
  <c r="AJ179" i="8"/>
  <c r="AK179" i="8"/>
  <c r="H180" i="8"/>
  <c r="M180" i="8"/>
  <c r="R180" i="8"/>
  <c r="W180" i="8"/>
  <c r="AB180" i="8"/>
  <c r="AG180" i="8"/>
  <c r="AL180" i="8"/>
  <c r="AL184" i="8" s="1"/>
  <c r="H181" i="8"/>
  <c r="M181" i="8"/>
  <c r="R181" i="8"/>
  <c r="W181" i="8"/>
  <c r="W184" i="8" s="1"/>
  <c r="AB181" i="8"/>
  <c r="AG181" i="8"/>
  <c r="AL181" i="8"/>
  <c r="H182" i="8"/>
  <c r="M182" i="8"/>
  <c r="R182" i="8"/>
  <c r="W182" i="8"/>
  <c r="AB182" i="8"/>
  <c r="AG182" i="8"/>
  <c r="AL182" i="8"/>
  <c r="H183" i="8"/>
  <c r="M183" i="8"/>
  <c r="R183" i="8"/>
  <c r="W183" i="8"/>
  <c r="AB183" i="8"/>
  <c r="AG183" i="8"/>
  <c r="AG184" i="8" s="1"/>
  <c r="AL183" i="8"/>
  <c r="D184" i="8"/>
  <c r="E184" i="8"/>
  <c r="F184" i="8"/>
  <c r="G184" i="8"/>
  <c r="I184" i="8"/>
  <c r="J184" i="8"/>
  <c r="K184" i="8"/>
  <c r="L184" i="8"/>
  <c r="N184" i="8"/>
  <c r="O184" i="8"/>
  <c r="P184" i="8"/>
  <c r="Q184" i="8"/>
  <c r="R184" i="8"/>
  <c r="S184" i="8"/>
  <c r="T184" i="8"/>
  <c r="U184" i="8"/>
  <c r="V184" i="8"/>
  <c r="X184" i="8"/>
  <c r="Y184" i="8"/>
  <c r="Z184" i="8"/>
  <c r="AA184" i="8"/>
  <c r="AC184" i="8"/>
  <c r="AD184" i="8"/>
  <c r="AE184" i="8"/>
  <c r="AF184" i="8"/>
  <c r="AH184" i="8"/>
  <c r="AI184" i="8"/>
  <c r="AJ184" i="8"/>
  <c r="AK184" i="8"/>
  <c r="H185" i="8"/>
  <c r="M185" i="8"/>
  <c r="R185" i="8"/>
  <c r="W185" i="8"/>
  <c r="AB185" i="8"/>
  <c r="AG185" i="8"/>
  <c r="AL185" i="8"/>
  <c r="H186" i="8"/>
  <c r="H189" i="8" s="1"/>
  <c r="M186" i="8"/>
  <c r="M189" i="8" s="1"/>
  <c r="R186" i="8"/>
  <c r="W186" i="8"/>
  <c r="AB186" i="8"/>
  <c r="AB189" i="8" s="1"/>
  <c r="AG186" i="8"/>
  <c r="AG189" i="8" s="1"/>
  <c r="AL186" i="8"/>
  <c r="H187" i="8"/>
  <c r="M187" i="8"/>
  <c r="R187" i="8"/>
  <c r="W187" i="8"/>
  <c r="AB187" i="8"/>
  <c r="AG187" i="8"/>
  <c r="AL187" i="8"/>
  <c r="H188" i="8"/>
  <c r="M188" i="8"/>
  <c r="R188" i="8"/>
  <c r="R189" i="8" s="1"/>
  <c r="W188" i="8"/>
  <c r="AB188" i="8"/>
  <c r="AG188" i="8"/>
  <c r="AL188" i="8"/>
  <c r="AL189" i="8" s="1"/>
  <c r="D189" i="8"/>
  <c r="E189" i="8"/>
  <c r="F189" i="8"/>
  <c r="G189" i="8"/>
  <c r="I189" i="8"/>
  <c r="J189" i="8"/>
  <c r="K189" i="8"/>
  <c r="L189" i="8"/>
  <c r="N189" i="8"/>
  <c r="O189" i="8"/>
  <c r="P189" i="8"/>
  <c r="Q189" i="8"/>
  <c r="S189" i="8"/>
  <c r="T189" i="8"/>
  <c r="U189" i="8"/>
  <c r="V189" i="8"/>
  <c r="W189" i="8"/>
  <c r="X189" i="8"/>
  <c r="Y189" i="8"/>
  <c r="Z189" i="8"/>
  <c r="AA189" i="8"/>
  <c r="AC189" i="8"/>
  <c r="AD189" i="8"/>
  <c r="AE189" i="8"/>
  <c r="AF189" i="8"/>
  <c r="AH189" i="8"/>
  <c r="AI189" i="8"/>
  <c r="AJ189" i="8"/>
  <c r="AK189" i="8"/>
  <c r="H190" i="8"/>
  <c r="M190" i="8"/>
  <c r="R190" i="8"/>
  <c r="W190" i="8"/>
  <c r="AB190" i="8"/>
  <c r="AG190" i="8"/>
  <c r="AL190" i="8"/>
  <c r="H191" i="8"/>
  <c r="M191" i="8"/>
  <c r="R191" i="8"/>
  <c r="W191" i="8"/>
  <c r="AB191" i="8"/>
  <c r="AG191" i="8"/>
  <c r="AG194" i="8" s="1"/>
  <c r="AL191" i="8"/>
  <c r="H192" i="8"/>
  <c r="M192" i="8"/>
  <c r="R192" i="8"/>
  <c r="W192" i="8"/>
  <c r="AB192" i="8"/>
  <c r="AG192" i="8"/>
  <c r="AL192" i="8"/>
  <c r="H193" i="8"/>
  <c r="M193" i="8"/>
  <c r="R193" i="8"/>
  <c r="W193" i="8"/>
  <c r="W194" i="8" s="1"/>
  <c r="AB193" i="8"/>
  <c r="AG193" i="8"/>
  <c r="AL193" i="8"/>
  <c r="D194" i="8"/>
  <c r="D205" i="8" s="1"/>
  <c r="E194" i="8"/>
  <c r="F194" i="8"/>
  <c r="G194" i="8"/>
  <c r="H194" i="8"/>
  <c r="I194" i="8"/>
  <c r="J194" i="8"/>
  <c r="K194" i="8"/>
  <c r="L194" i="8"/>
  <c r="L205" i="8" s="1"/>
  <c r="N194" i="8"/>
  <c r="O194" i="8"/>
  <c r="P194" i="8"/>
  <c r="P205" i="8" s="1"/>
  <c r="Q194" i="8"/>
  <c r="S194" i="8"/>
  <c r="T194" i="8"/>
  <c r="T205" i="8" s="1"/>
  <c r="U194" i="8"/>
  <c r="V194" i="8"/>
  <c r="X194" i="8"/>
  <c r="X205" i="8" s="1"/>
  <c r="Y194" i="8"/>
  <c r="Z194" i="8"/>
  <c r="AA194" i="8"/>
  <c r="AB194" i="8"/>
  <c r="AC194" i="8"/>
  <c r="AD194" i="8"/>
  <c r="AE194" i="8"/>
  <c r="AF194" i="8"/>
  <c r="AF205" i="8" s="1"/>
  <c r="AH194" i="8"/>
  <c r="AI194" i="8"/>
  <c r="AJ194" i="8"/>
  <c r="AJ205" i="8" s="1"/>
  <c r="AK194" i="8"/>
  <c r="H195" i="8"/>
  <c r="M195" i="8"/>
  <c r="R195" i="8"/>
  <c r="W195" i="8"/>
  <c r="AB195" i="8"/>
  <c r="AG195" i="8"/>
  <c r="AL195" i="8"/>
  <c r="H196" i="8"/>
  <c r="M196" i="8"/>
  <c r="R196" i="8"/>
  <c r="R199" i="8" s="1"/>
  <c r="W196" i="8"/>
  <c r="AB196" i="8"/>
  <c r="AG196" i="8"/>
  <c r="AL196" i="8"/>
  <c r="AL199" i="8" s="1"/>
  <c r="H197" i="8"/>
  <c r="M197" i="8"/>
  <c r="R197" i="8"/>
  <c r="W197" i="8"/>
  <c r="AB197" i="8"/>
  <c r="AG197" i="8"/>
  <c r="AL197" i="8"/>
  <c r="H198" i="8"/>
  <c r="H199" i="8" s="1"/>
  <c r="M198" i="8"/>
  <c r="R198" i="8"/>
  <c r="W198" i="8"/>
  <c r="AB198" i="8"/>
  <c r="AB199" i="8" s="1"/>
  <c r="AG198" i="8"/>
  <c r="AL198" i="8"/>
  <c r="D199" i="8"/>
  <c r="E199" i="8"/>
  <c r="F199" i="8"/>
  <c r="G199" i="8"/>
  <c r="I199" i="8"/>
  <c r="J199" i="8"/>
  <c r="K199" i="8"/>
  <c r="L199" i="8"/>
  <c r="N199" i="8"/>
  <c r="O199" i="8"/>
  <c r="P199" i="8"/>
  <c r="Q199" i="8"/>
  <c r="S199" i="8"/>
  <c r="T199" i="8"/>
  <c r="U199" i="8"/>
  <c r="V199" i="8"/>
  <c r="X199" i="8"/>
  <c r="Y199" i="8"/>
  <c r="Z199" i="8"/>
  <c r="AA199" i="8"/>
  <c r="AC199" i="8"/>
  <c r="AD199" i="8"/>
  <c r="AE199" i="8"/>
  <c r="AF199" i="8"/>
  <c r="AG199" i="8"/>
  <c r="AH199" i="8"/>
  <c r="AI199" i="8"/>
  <c r="AJ199" i="8"/>
  <c r="AK199" i="8"/>
  <c r="H200" i="8"/>
  <c r="M200" i="8"/>
  <c r="R200" i="8"/>
  <c r="W200" i="8"/>
  <c r="AB200" i="8"/>
  <c r="AG200" i="8"/>
  <c r="AL200" i="8"/>
  <c r="H201" i="8"/>
  <c r="H204" i="8" s="1"/>
  <c r="H205" i="8" s="1"/>
  <c r="M201" i="8"/>
  <c r="R201" i="8"/>
  <c r="W201" i="8"/>
  <c r="W204" i="8" s="1"/>
  <c r="AB201" i="8"/>
  <c r="AB204" i="8" s="1"/>
  <c r="AB205" i="8" s="1"/>
  <c r="AG201" i="8"/>
  <c r="AL201" i="8"/>
  <c r="H202" i="8"/>
  <c r="M202" i="8"/>
  <c r="R202" i="8"/>
  <c r="W202" i="8"/>
  <c r="AB202" i="8"/>
  <c r="AG202" i="8"/>
  <c r="AL202" i="8"/>
  <c r="H203" i="8"/>
  <c r="M203" i="8"/>
  <c r="R203" i="8"/>
  <c r="W203" i="8"/>
  <c r="AB203" i="8"/>
  <c r="AG203" i="8"/>
  <c r="AG204" i="8" s="1"/>
  <c r="AL203" i="8"/>
  <c r="D204" i="8"/>
  <c r="E204" i="8"/>
  <c r="F204" i="8"/>
  <c r="F205" i="8" s="1"/>
  <c r="G204" i="8"/>
  <c r="I204" i="8"/>
  <c r="I205" i="8" s="1"/>
  <c r="J204" i="8"/>
  <c r="J205" i="8" s="1"/>
  <c r="K204" i="8"/>
  <c r="L204" i="8"/>
  <c r="N204" i="8"/>
  <c r="N205" i="8" s="1"/>
  <c r="O204" i="8"/>
  <c r="P204" i="8"/>
  <c r="Q204" i="8"/>
  <c r="Q205" i="8" s="1"/>
  <c r="R204" i="8"/>
  <c r="S204" i="8"/>
  <c r="T204" i="8"/>
  <c r="U204" i="8"/>
  <c r="U205" i="8" s="1"/>
  <c r="V204" i="8"/>
  <c r="V205" i="8" s="1"/>
  <c r="X204" i="8"/>
  <c r="Y204" i="8"/>
  <c r="Y205" i="8" s="1"/>
  <c r="Z204" i="8"/>
  <c r="Z205" i="8" s="1"/>
  <c r="AA204" i="8"/>
  <c r="AC204" i="8"/>
  <c r="AD204" i="8"/>
  <c r="AD205" i="8" s="1"/>
  <c r="AE204" i="8"/>
  <c r="AF204" i="8"/>
  <c r="AH204" i="8"/>
  <c r="AH205" i="8" s="1"/>
  <c r="AI204" i="8"/>
  <c r="AJ204" i="8"/>
  <c r="AK204" i="8"/>
  <c r="AL204" i="8"/>
  <c r="G205" i="8"/>
  <c r="K205" i="8"/>
  <c r="O205" i="8"/>
  <c r="S205" i="8"/>
  <c r="AA205" i="8"/>
  <c r="AE205" i="8"/>
  <c r="AI205" i="8"/>
  <c r="H206" i="8"/>
  <c r="M206" i="8"/>
  <c r="R206" i="8"/>
  <c r="W206" i="8"/>
  <c r="AB206" i="8"/>
  <c r="AG206" i="8"/>
  <c r="AL206" i="8"/>
  <c r="H207" i="8"/>
  <c r="M207" i="8"/>
  <c r="R207" i="8"/>
  <c r="R210" i="8" s="1"/>
  <c r="W207" i="8"/>
  <c r="AB207" i="8"/>
  <c r="AG207" i="8"/>
  <c r="AG210" i="8" s="1"/>
  <c r="AL207" i="8"/>
  <c r="AL210" i="8" s="1"/>
  <c r="H208" i="8"/>
  <c r="M208" i="8"/>
  <c r="R208" i="8"/>
  <c r="W208" i="8"/>
  <c r="AB208" i="8"/>
  <c r="AG208" i="8"/>
  <c r="AL208" i="8"/>
  <c r="H209" i="8"/>
  <c r="M209" i="8"/>
  <c r="R209" i="8"/>
  <c r="W209" i="8"/>
  <c r="W210" i="8" s="1"/>
  <c r="AB209" i="8"/>
  <c r="AG209" i="8"/>
  <c r="AL209" i="8"/>
  <c r="D210" i="8"/>
  <c r="E210" i="8"/>
  <c r="F210" i="8"/>
  <c r="G210" i="8"/>
  <c r="H210" i="8"/>
  <c r="I210" i="8"/>
  <c r="J210" i="8"/>
  <c r="K210" i="8"/>
  <c r="L210" i="8"/>
  <c r="N210" i="8"/>
  <c r="O210" i="8"/>
  <c r="P210" i="8"/>
  <c r="Q210" i="8"/>
  <c r="S210" i="8"/>
  <c r="T210" i="8"/>
  <c r="U210" i="8"/>
  <c r="V210" i="8"/>
  <c r="X210" i="8"/>
  <c r="Y210" i="8"/>
  <c r="Z210" i="8"/>
  <c r="AA210" i="8"/>
  <c r="AB210" i="8"/>
  <c r="AC210" i="8"/>
  <c r="AD210" i="8"/>
  <c r="AE210" i="8"/>
  <c r="AF210" i="8"/>
  <c r="AH210" i="8"/>
  <c r="AI210" i="8"/>
  <c r="AJ210" i="8"/>
  <c r="AK210" i="8"/>
  <c r="H211" i="8"/>
  <c r="M211" i="8"/>
  <c r="R211" i="8"/>
  <c r="W211" i="8"/>
  <c r="AB211" i="8"/>
  <c r="AG211" i="8"/>
  <c r="AL211" i="8"/>
  <c r="H212" i="8"/>
  <c r="M212" i="8"/>
  <c r="R212" i="8"/>
  <c r="R215" i="8" s="1"/>
  <c r="W212" i="8"/>
  <c r="W215" i="8" s="1"/>
  <c r="AB212" i="8"/>
  <c r="AG212" i="8"/>
  <c r="AL212" i="8"/>
  <c r="AL215" i="8" s="1"/>
  <c r="H213" i="8"/>
  <c r="M213" i="8"/>
  <c r="R213" i="8"/>
  <c r="W213" i="8"/>
  <c r="AB213" i="8"/>
  <c r="AG213" i="8"/>
  <c r="AL213" i="8"/>
  <c r="H214" i="8"/>
  <c r="H215" i="8" s="1"/>
  <c r="M214" i="8"/>
  <c r="R214" i="8"/>
  <c r="W214" i="8"/>
  <c r="AB214" i="8"/>
  <c r="AB215" i="8" s="1"/>
  <c r="AG214" i="8"/>
  <c r="AL214" i="8"/>
  <c r="D215" i="8"/>
  <c r="E215" i="8"/>
  <c r="F215" i="8"/>
  <c r="G215" i="8"/>
  <c r="I215" i="8"/>
  <c r="J215" i="8"/>
  <c r="K215" i="8"/>
  <c r="L215" i="8"/>
  <c r="M215" i="8"/>
  <c r="N215" i="8"/>
  <c r="O215" i="8"/>
  <c r="P215" i="8"/>
  <c r="Q215" i="8"/>
  <c r="S215" i="8"/>
  <c r="T215" i="8"/>
  <c r="U215" i="8"/>
  <c r="V215" i="8"/>
  <c r="X215" i="8"/>
  <c r="Y215" i="8"/>
  <c r="Z215" i="8"/>
  <c r="AA215" i="8"/>
  <c r="AC215" i="8"/>
  <c r="AD215" i="8"/>
  <c r="AE215" i="8"/>
  <c r="AF215" i="8"/>
  <c r="AG215" i="8"/>
  <c r="AH215" i="8"/>
  <c r="AI215" i="8"/>
  <c r="AJ215" i="8"/>
  <c r="AK215" i="8"/>
  <c r="H216" i="8"/>
  <c r="M216" i="8"/>
  <c r="R216" i="8"/>
  <c r="W216" i="8"/>
  <c r="AB216" i="8"/>
  <c r="AG216" i="8"/>
  <c r="AL216" i="8"/>
  <c r="H217" i="8"/>
  <c r="M217" i="8"/>
  <c r="R217" i="8"/>
  <c r="W217" i="8"/>
  <c r="W220" i="8" s="1"/>
  <c r="AB217" i="8"/>
  <c r="AG217" i="8"/>
  <c r="AL217" i="8"/>
  <c r="H218" i="8"/>
  <c r="M218" i="8"/>
  <c r="R218" i="8"/>
  <c r="W218" i="8"/>
  <c r="AB218" i="8"/>
  <c r="AG218" i="8"/>
  <c r="AL218" i="8"/>
  <c r="H219" i="8"/>
  <c r="M219" i="8"/>
  <c r="R219" i="8"/>
  <c r="W219" i="8"/>
  <c r="AB219" i="8"/>
  <c r="AG219" i="8"/>
  <c r="AG220" i="8" s="1"/>
  <c r="AL219" i="8"/>
  <c r="D220" i="8"/>
  <c r="E220" i="8"/>
  <c r="F220" i="8"/>
  <c r="G220" i="8"/>
  <c r="I220" i="8"/>
  <c r="J220" i="8"/>
  <c r="K220" i="8"/>
  <c r="L220" i="8"/>
  <c r="N220" i="8"/>
  <c r="O220" i="8"/>
  <c r="P220" i="8"/>
  <c r="Q220" i="8"/>
  <c r="R220" i="8"/>
  <c r="S220" i="8"/>
  <c r="T220" i="8"/>
  <c r="U220" i="8"/>
  <c r="V220" i="8"/>
  <c r="X220" i="8"/>
  <c r="Y220" i="8"/>
  <c r="Z220" i="8"/>
  <c r="AA220" i="8"/>
  <c r="AC220" i="8"/>
  <c r="AD220" i="8"/>
  <c r="AE220" i="8"/>
  <c r="AF220" i="8"/>
  <c r="AH220" i="8"/>
  <c r="AI220" i="8"/>
  <c r="AJ220" i="8"/>
  <c r="AK220" i="8"/>
  <c r="AL220" i="8"/>
  <c r="H221" i="8"/>
  <c r="M221" i="8"/>
  <c r="R221" i="8"/>
  <c r="W221" i="8"/>
  <c r="AB221" i="8"/>
  <c r="AG221" i="8"/>
  <c r="AL221" i="8"/>
  <c r="H222" i="8"/>
  <c r="M222" i="8"/>
  <c r="R222" i="8"/>
  <c r="W222" i="8"/>
  <c r="AB222" i="8"/>
  <c r="AG222" i="8"/>
  <c r="AL222" i="8"/>
  <c r="H223" i="8"/>
  <c r="M223" i="8"/>
  <c r="R223" i="8"/>
  <c r="W223" i="8"/>
  <c r="AB223" i="8"/>
  <c r="AG223" i="8"/>
  <c r="AL223" i="8"/>
  <c r="H224" i="8"/>
  <c r="M224" i="8"/>
  <c r="R224" i="8"/>
  <c r="W224" i="8"/>
  <c r="AB224" i="8"/>
  <c r="AG224" i="8"/>
  <c r="AL224" i="8"/>
  <c r="D225" i="8"/>
  <c r="E225" i="8"/>
  <c r="F225" i="8"/>
  <c r="G225" i="8"/>
  <c r="H225" i="8"/>
  <c r="I225" i="8"/>
  <c r="J225" i="8"/>
  <c r="K225" i="8"/>
  <c r="L225" i="8"/>
  <c r="M225" i="8"/>
  <c r="N225" i="8"/>
  <c r="O225" i="8"/>
  <c r="P225" i="8"/>
  <c r="Q225" i="8"/>
  <c r="R225" i="8"/>
  <c r="S225" i="8"/>
  <c r="T225" i="8"/>
  <c r="U225" i="8"/>
  <c r="V225" i="8"/>
  <c r="W225" i="8"/>
  <c r="X225" i="8"/>
  <c r="Y225" i="8"/>
  <c r="Z225" i="8"/>
  <c r="AA225" i="8"/>
  <c r="AB225" i="8"/>
  <c r="AC225" i="8"/>
  <c r="AD225" i="8"/>
  <c r="AE225" i="8"/>
  <c r="AF225" i="8"/>
  <c r="AG225" i="8"/>
  <c r="AH225" i="8"/>
  <c r="AI225" i="8"/>
  <c r="AJ225" i="8"/>
  <c r="AK225" i="8"/>
  <c r="AL225" i="8"/>
  <c r="H226" i="8"/>
  <c r="M226" i="8"/>
  <c r="R226" i="8"/>
  <c r="W226" i="8"/>
  <c r="AB226" i="8"/>
  <c r="AG226" i="8"/>
  <c r="AL226" i="8"/>
  <c r="H227" i="8"/>
  <c r="M227" i="8"/>
  <c r="R227" i="8"/>
  <c r="W227" i="8"/>
  <c r="AB227" i="8"/>
  <c r="AG227" i="8"/>
  <c r="AL227" i="8"/>
  <c r="H228" i="8"/>
  <c r="M228" i="8"/>
  <c r="R228" i="8"/>
  <c r="W228" i="8"/>
  <c r="AB228" i="8"/>
  <c r="AG228" i="8"/>
  <c r="AL228" i="8"/>
  <c r="AL230" i="8" s="1"/>
  <c r="H229" i="8"/>
  <c r="M229" i="8"/>
  <c r="R229" i="8"/>
  <c r="W229" i="8"/>
  <c r="AB229" i="8"/>
  <c r="AG229" i="8"/>
  <c r="AL229" i="8"/>
  <c r="D230" i="8"/>
  <c r="E230" i="8"/>
  <c r="F230" i="8"/>
  <c r="G230" i="8"/>
  <c r="H230" i="8"/>
  <c r="I230" i="8"/>
  <c r="J230" i="8"/>
  <c r="K230" i="8"/>
  <c r="L230" i="8"/>
  <c r="M230" i="8"/>
  <c r="N230" i="8"/>
  <c r="O230" i="8"/>
  <c r="P230" i="8"/>
  <c r="Q230" i="8"/>
  <c r="S230" i="8"/>
  <c r="T230" i="8"/>
  <c r="U230" i="8"/>
  <c r="V230" i="8"/>
  <c r="W230" i="8"/>
  <c r="X230" i="8"/>
  <c r="Y230" i="8"/>
  <c r="Z230" i="8"/>
  <c r="AA230" i="8"/>
  <c r="AB230" i="8"/>
  <c r="AC230" i="8"/>
  <c r="AD230" i="8"/>
  <c r="AE230" i="8"/>
  <c r="AF230" i="8"/>
  <c r="AG230" i="8"/>
  <c r="AH230" i="8"/>
  <c r="AI230" i="8"/>
  <c r="AJ230" i="8"/>
  <c r="AK230" i="8"/>
  <c r="H231" i="8"/>
  <c r="M231" i="8"/>
  <c r="R231" i="8"/>
  <c r="W231" i="8"/>
  <c r="AB231" i="8"/>
  <c r="AG231" i="8"/>
  <c r="AL231" i="8"/>
  <c r="H232" i="8"/>
  <c r="M232" i="8"/>
  <c r="R232" i="8"/>
  <c r="W232" i="8"/>
  <c r="AB232" i="8"/>
  <c r="AG232" i="8"/>
  <c r="AL232" i="8"/>
  <c r="H233" i="8"/>
  <c r="M233" i="8"/>
  <c r="R233" i="8"/>
  <c r="W233" i="8"/>
  <c r="AB233" i="8"/>
  <c r="AG233" i="8"/>
  <c r="AL233" i="8"/>
  <c r="AL235" i="8" s="1"/>
  <c r="H234" i="8"/>
  <c r="M234" i="8"/>
  <c r="R234" i="8"/>
  <c r="W234" i="8"/>
  <c r="AB234" i="8"/>
  <c r="AG234" i="8"/>
  <c r="AL234" i="8"/>
  <c r="D235" i="8"/>
  <c r="E235" i="8"/>
  <c r="F235" i="8"/>
  <c r="G235" i="8"/>
  <c r="H235" i="8"/>
  <c r="I235" i="8"/>
  <c r="J235" i="8"/>
  <c r="K235" i="8"/>
  <c r="L235" i="8"/>
  <c r="M235" i="8"/>
  <c r="N235" i="8"/>
  <c r="O235" i="8"/>
  <c r="P235" i="8"/>
  <c r="Q235" i="8"/>
  <c r="S235" i="8"/>
  <c r="T235" i="8"/>
  <c r="U235" i="8"/>
  <c r="V235" i="8"/>
  <c r="W235" i="8"/>
  <c r="X235" i="8"/>
  <c r="Y235" i="8"/>
  <c r="Z235" i="8"/>
  <c r="AA235" i="8"/>
  <c r="AB235" i="8"/>
  <c r="AC235" i="8"/>
  <c r="AD235" i="8"/>
  <c r="AE235" i="8"/>
  <c r="AF235" i="8"/>
  <c r="AG235" i="8"/>
  <c r="AH235" i="8"/>
  <c r="AI235" i="8"/>
  <c r="AJ235" i="8"/>
  <c r="AK235" i="8"/>
  <c r="H236" i="8"/>
  <c r="M236" i="8"/>
  <c r="R236" i="8"/>
  <c r="W236" i="8"/>
  <c r="AB236" i="8"/>
  <c r="AG236" i="8"/>
  <c r="AL236" i="8"/>
  <c r="H237" i="8"/>
  <c r="M237" i="8"/>
  <c r="R237" i="8"/>
  <c r="W237" i="8"/>
  <c r="AB237" i="8"/>
  <c r="AG237" i="8"/>
  <c r="AL237" i="8"/>
  <c r="H238" i="8"/>
  <c r="M238" i="8"/>
  <c r="R238" i="8"/>
  <c r="W238" i="8"/>
  <c r="AB238" i="8"/>
  <c r="AG238" i="8"/>
  <c r="AL238" i="8"/>
  <c r="H239" i="8"/>
  <c r="M239" i="8"/>
  <c r="R239" i="8"/>
  <c r="W239" i="8"/>
  <c r="AB239" i="8"/>
  <c r="AG239" i="8"/>
  <c r="AL239" i="8"/>
  <c r="D240" i="8"/>
  <c r="E240" i="8"/>
  <c r="F240" i="8"/>
  <c r="G240" i="8"/>
  <c r="H240" i="8"/>
  <c r="I240" i="8"/>
  <c r="J240" i="8"/>
  <c r="K240" i="8"/>
  <c r="L240" i="8"/>
  <c r="M240" i="8"/>
  <c r="N240" i="8"/>
  <c r="O240" i="8"/>
  <c r="P240" i="8"/>
  <c r="Q240" i="8"/>
  <c r="R240" i="8"/>
  <c r="S240" i="8"/>
  <c r="T240" i="8"/>
  <c r="U240" i="8"/>
  <c r="V240" i="8"/>
  <c r="W240" i="8"/>
  <c r="X240" i="8"/>
  <c r="Y240" i="8"/>
  <c r="Z240" i="8"/>
  <c r="AA240" i="8"/>
  <c r="AB240" i="8"/>
  <c r="AC240" i="8"/>
  <c r="AD240" i="8"/>
  <c r="AE240" i="8"/>
  <c r="AF240" i="8"/>
  <c r="AG240" i="8"/>
  <c r="AH240" i="8"/>
  <c r="AI240" i="8"/>
  <c r="AJ240" i="8"/>
  <c r="AK240" i="8"/>
  <c r="AL240" i="8"/>
  <c r="H241" i="8"/>
  <c r="M241" i="8"/>
  <c r="R241" i="8"/>
  <c r="W241" i="8"/>
  <c r="AB241" i="8"/>
  <c r="AG241" i="8"/>
  <c r="AL241" i="8"/>
  <c r="H242" i="8"/>
  <c r="M242" i="8"/>
  <c r="R242" i="8"/>
  <c r="W242" i="8"/>
  <c r="AB242" i="8"/>
  <c r="AG242" i="8"/>
  <c r="AL242" i="8"/>
  <c r="H243" i="8"/>
  <c r="M243" i="8"/>
  <c r="R243" i="8"/>
  <c r="W243" i="8"/>
  <c r="AB243" i="8"/>
  <c r="AG243" i="8"/>
  <c r="AL243" i="8"/>
  <c r="H244" i="8"/>
  <c r="M244" i="8"/>
  <c r="R244" i="8"/>
  <c r="W244" i="8"/>
  <c r="AB244" i="8"/>
  <c r="AG244" i="8"/>
  <c r="AL244" i="8"/>
  <c r="D245" i="8"/>
  <c r="E245" i="8"/>
  <c r="F245" i="8"/>
  <c r="G245" i="8"/>
  <c r="H245" i="8"/>
  <c r="I245" i="8"/>
  <c r="J245" i="8"/>
  <c r="K245" i="8"/>
  <c r="L245" i="8"/>
  <c r="M245" i="8"/>
  <c r="N245" i="8"/>
  <c r="O245" i="8"/>
  <c r="P245" i="8"/>
  <c r="Q245" i="8"/>
  <c r="S245" i="8"/>
  <c r="T245" i="8"/>
  <c r="U245" i="8"/>
  <c r="V245" i="8"/>
  <c r="W245" i="8"/>
  <c r="X245" i="8"/>
  <c r="Y245" i="8"/>
  <c r="Z245" i="8"/>
  <c r="AA245" i="8"/>
  <c r="AB245" i="8"/>
  <c r="AC245" i="8"/>
  <c r="AD245" i="8"/>
  <c r="AE245" i="8"/>
  <c r="AF245" i="8"/>
  <c r="AG245" i="8"/>
  <c r="AH245" i="8"/>
  <c r="AI245" i="8"/>
  <c r="AJ245" i="8"/>
  <c r="AK245" i="8"/>
  <c r="AL245" i="8"/>
  <c r="H246" i="8"/>
  <c r="M246" i="8"/>
  <c r="R246" i="8"/>
  <c r="W246" i="8"/>
  <c r="AB246" i="8"/>
  <c r="AG246" i="8"/>
  <c r="AL246" i="8"/>
  <c r="H247" i="8"/>
  <c r="M247" i="8"/>
  <c r="R247" i="8"/>
  <c r="W247" i="8"/>
  <c r="AB247" i="8"/>
  <c r="AG247" i="8"/>
  <c r="AL247" i="8"/>
  <c r="H248" i="8"/>
  <c r="M248" i="8"/>
  <c r="R248" i="8"/>
  <c r="W248" i="8"/>
  <c r="AB248" i="8"/>
  <c r="AG248" i="8"/>
  <c r="AL248" i="8"/>
  <c r="AL250" i="8" s="1"/>
  <c r="H249" i="8"/>
  <c r="M249" i="8"/>
  <c r="R249" i="8"/>
  <c r="W249" i="8"/>
  <c r="AB249" i="8"/>
  <c r="AG249" i="8"/>
  <c r="AL249" i="8"/>
  <c r="D250" i="8"/>
  <c r="E250" i="8"/>
  <c r="F250" i="8"/>
  <c r="G250" i="8"/>
  <c r="H250" i="8"/>
  <c r="I250" i="8"/>
  <c r="J250" i="8"/>
  <c r="K250" i="8"/>
  <c r="L250" i="8"/>
  <c r="M250" i="8"/>
  <c r="N250" i="8"/>
  <c r="O250" i="8"/>
  <c r="P250" i="8"/>
  <c r="Q250" i="8"/>
  <c r="S250" i="8"/>
  <c r="T250" i="8"/>
  <c r="U250" i="8"/>
  <c r="V250" i="8"/>
  <c r="W250" i="8"/>
  <c r="X250" i="8"/>
  <c r="Y250" i="8"/>
  <c r="Z250" i="8"/>
  <c r="AA250" i="8"/>
  <c r="AB250" i="8"/>
  <c r="AC250" i="8"/>
  <c r="AD250" i="8"/>
  <c r="AE250" i="8"/>
  <c r="AF250" i="8"/>
  <c r="AG250" i="8"/>
  <c r="AH250" i="8"/>
  <c r="AI250" i="8"/>
  <c r="AJ250" i="8"/>
  <c r="AK250" i="8"/>
  <c r="H251" i="8"/>
  <c r="M251" i="8"/>
  <c r="R251" i="8"/>
  <c r="W251" i="8"/>
  <c r="AB251" i="8"/>
  <c r="AG251" i="8"/>
  <c r="AL251" i="8"/>
  <c r="H252" i="8"/>
  <c r="M252" i="8"/>
  <c r="R252" i="8"/>
  <c r="W252" i="8"/>
  <c r="AB252" i="8"/>
  <c r="AG252" i="8"/>
  <c r="AL252" i="8"/>
  <c r="AL255" i="8" s="1"/>
  <c r="H253" i="8"/>
  <c r="M253" i="8"/>
  <c r="R253" i="8"/>
  <c r="W253" i="8"/>
  <c r="AB253" i="8"/>
  <c r="AG253" i="8"/>
  <c r="AL253" i="8"/>
  <c r="H254" i="8"/>
  <c r="M254" i="8"/>
  <c r="R254" i="8"/>
  <c r="W254" i="8"/>
  <c r="AB254" i="8"/>
  <c r="AG254" i="8"/>
  <c r="AL254" i="8"/>
  <c r="AM254" i="8"/>
  <c r="D255" i="8"/>
  <c r="E255" i="8"/>
  <c r="F255" i="8"/>
  <c r="G255" i="8"/>
  <c r="H255" i="8"/>
  <c r="I255" i="8"/>
  <c r="J255" i="8"/>
  <c r="K255" i="8"/>
  <c r="L255" i="8"/>
  <c r="M255" i="8"/>
  <c r="N255" i="8"/>
  <c r="O255" i="8"/>
  <c r="P255" i="8"/>
  <c r="Q255" i="8"/>
  <c r="S255" i="8"/>
  <c r="T255" i="8"/>
  <c r="U255" i="8"/>
  <c r="V255" i="8"/>
  <c r="W255" i="8"/>
  <c r="X255" i="8"/>
  <c r="Y255" i="8"/>
  <c r="Z255" i="8"/>
  <c r="AA255" i="8"/>
  <c r="AB255" i="8"/>
  <c r="AC255" i="8"/>
  <c r="AD255" i="8"/>
  <c r="AE255" i="8"/>
  <c r="AF255" i="8"/>
  <c r="AG255" i="8"/>
  <c r="AH255" i="8"/>
  <c r="AI255" i="8"/>
  <c r="AJ255" i="8"/>
  <c r="AK255" i="8"/>
  <c r="H256" i="8"/>
  <c r="M256" i="8"/>
  <c r="R256" i="8"/>
  <c r="W256" i="8"/>
  <c r="AB256" i="8"/>
  <c r="AG256" i="8"/>
  <c r="AL256" i="8"/>
  <c r="AM256" i="8"/>
  <c r="H257" i="8"/>
  <c r="M257" i="8"/>
  <c r="R257" i="8"/>
  <c r="W257" i="8"/>
  <c r="AB257" i="8"/>
  <c r="AG257" i="8"/>
  <c r="AL257" i="8"/>
  <c r="AM257" i="8"/>
  <c r="H258" i="8"/>
  <c r="M258" i="8"/>
  <c r="R258" i="8"/>
  <c r="W258" i="8"/>
  <c r="AB258" i="8"/>
  <c r="AG258" i="8"/>
  <c r="AL258" i="8"/>
  <c r="AM258" i="8"/>
  <c r="H259" i="8"/>
  <c r="M259" i="8"/>
  <c r="R259" i="8"/>
  <c r="W259" i="8"/>
  <c r="AB259" i="8"/>
  <c r="AG259" i="8"/>
  <c r="AL259" i="8"/>
  <c r="AM259" i="8"/>
  <c r="D260" i="8"/>
  <c r="E260" i="8"/>
  <c r="F260" i="8"/>
  <c r="G260" i="8"/>
  <c r="G266" i="8" s="1"/>
  <c r="H260" i="8"/>
  <c r="I260" i="8"/>
  <c r="J260" i="8"/>
  <c r="K260" i="8"/>
  <c r="K266" i="8" s="1"/>
  <c r="L260" i="8"/>
  <c r="M260" i="8"/>
  <c r="N260" i="8"/>
  <c r="O260" i="8"/>
  <c r="O266" i="8" s="1"/>
  <c r="P260" i="8"/>
  <c r="Q260" i="8"/>
  <c r="R260" i="8"/>
  <c r="S260" i="8"/>
  <c r="S266" i="8" s="1"/>
  <c r="T260" i="8"/>
  <c r="U260" i="8"/>
  <c r="V260" i="8"/>
  <c r="W260" i="8"/>
  <c r="W266" i="8" s="1"/>
  <c r="X260" i="8"/>
  <c r="Y260" i="8"/>
  <c r="Z260" i="8"/>
  <c r="AA260" i="8"/>
  <c r="AA266" i="8" s="1"/>
  <c r="AB260" i="8"/>
  <c r="AC260" i="8"/>
  <c r="AD260" i="8"/>
  <c r="AF260" i="8"/>
  <c r="AF266" i="8" s="1"/>
  <c r="AH260" i="8"/>
  <c r="AI260" i="8"/>
  <c r="AJ260" i="8"/>
  <c r="AK260" i="8"/>
  <c r="H261" i="8"/>
  <c r="M261" i="8"/>
  <c r="R261" i="8"/>
  <c r="R265" i="8" s="1"/>
  <c r="R266" i="8" s="1"/>
  <c r="W261" i="8"/>
  <c r="AB261" i="8"/>
  <c r="AG261" i="8"/>
  <c r="AL261" i="8"/>
  <c r="H262" i="8"/>
  <c r="M262" i="8"/>
  <c r="R262" i="8"/>
  <c r="W262" i="8"/>
  <c r="W265" i="8" s="1"/>
  <c r="AB262" i="8"/>
  <c r="AG262" i="8"/>
  <c r="AL262" i="8"/>
  <c r="H263" i="8"/>
  <c r="M263" i="8"/>
  <c r="R263" i="8"/>
  <c r="W263" i="8"/>
  <c r="AB263" i="8"/>
  <c r="AB265" i="8" s="1"/>
  <c r="AB266" i="8" s="1"/>
  <c r="AG263" i="8"/>
  <c r="AL263" i="8"/>
  <c r="H264" i="8"/>
  <c r="M264" i="8"/>
  <c r="M265" i="8" s="1"/>
  <c r="R264" i="8"/>
  <c r="W264" i="8"/>
  <c r="AB264" i="8"/>
  <c r="AG264" i="8"/>
  <c r="AL264" i="8"/>
  <c r="D265" i="8"/>
  <c r="D266" i="8" s="1"/>
  <c r="E265" i="8"/>
  <c r="F265" i="8"/>
  <c r="F266" i="8" s="1"/>
  <c r="G265" i="8"/>
  <c r="I265" i="8"/>
  <c r="J265" i="8"/>
  <c r="K265" i="8"/>
  <c r="L265" i="8"/>
  <c r="L266" i="8" s="1"/>
  <c r="N265" i="8"/>
  <c r="O265" i="8"/>
  <c r="P265" i="8"/>
  <c r="Q265" i="8"/>
  <c r="S265" i="8"/>
  <c r="T265" i="8"/>
  <c r="T266" i="8" s="1"/>
  <c r="U265" i="8"/>
  <c r="V265" i="8"/>
  <c r="X265" i="8"/>
  <c r="Y265" i="8"/>
  <c r="Z265" i="8"/>
  <c r="AA265" i="8"/>
  <c r="AC265" i="8"/>
  <c r="AD265" i="8"/>
  <c r="AE265" i="8"/>
  <c r="AF265" i="8"/>
  <c r="AG265" i="8"/>
  <c r="AH265" i="8"/>
  <c r="AH266" i="8" s="1"/>
  <c r="AI265" i="8"/>
  <c r="AJ265" i="8"/>
  <c r="AK265" i="8"/>
  <c r="AK266" i="8" s="1"/>
  <c r="AL265" i="8"/>
  <c r="J266" i="8"/>
  <c r="P266" i="8"/>
  <c r="V266" i="8"/>
  <c r="X266" i="8"/>
  <c r="Z266" i="8"/>
  <c r="AD266" i="8"/>
  <c r="AE266" i="8"/>
  <c r="AI266" i="8"/>
  <c r="AJ266" i="8"/>
  <c r="H267" i="8"/>
  <c r="M267" i="8"/>
  <c r="R267" i="8"/>
  <c r="W267" i="8"/>
  <c r="AB267" i="8"/>
  <c r="AG267" i="8"/>
  <c r="AG271" i="8" s="1"/>
  <c r="AL267" i="8"/>
  <c r="AL271" i="8" s="1"/>
  <c r="H268" i="8"/>
  <c r="M268" i="8"/>
  <c r="R268" i="8"/>
  <c r="W268" i="8"/>
  <c r="W271" i="8" s="1"/>
  <c r="AB268" i="8"/>
  <c r="AG268" i="8"/>
  <c r="AL268" i="8"/>
  <c r="H269" i="8"/>
  <c r="M269" i="8"/>
  <c r="R269" i="8"/>
  <c r="W269" i="8"/>
  <c r="AB269" i="8"/>
  <c r="AB271" i="8" s="1"/>
  <c r="AB277" i="8" s="1"/>
  <c r="AG269" i="8"/>
  <c r="AL269" i="8"/>
  <c r="H270" i="8"/>
  <c r="M270" i="8"/>
  <c r="M271" i="8" s="1"/>
  <c r="R270" i="8"/>
  <c r="W270" i="8"/>
  <c r="AB270" i="8"/>
  <c r="AG270" i="8"/>
  <c r="AL270" i="8"/>
  <c r="D271" i="8"/>
  <c r="E271" i="8"/>
  <c r="F271" i="8"/>
  <c r="F277" i="8" s="1"/>
  <c r="G271" i="8"/>
  <c r="I271" i="8"/>
  <c r="J271" i="8"/>
  <c r="J277" i="8" s="1"/>
  <c r="K271" i="8"/>
  <c r="L271" i="8"/>
  <c r="N271" i="8"/>
  <c r="O271" i="8"/>
  <c r="P271" i="8"/>
  <c r="Q271" i="8"/>
  <c r="R271" i="8"/>
  <c r="S271" i="8"/>
  <c r="T271" i="8"/>
  <c r="U271" i="8"/>
  <c r="V271" i="8"/>
  <c r="V277" i="8" s="1"/>
  <c r="X271" i="8"/>
  <c r="Y271" i="8"/>
  <c r="Z271" i="8"/>
  <c r="AA271" i="8"/>
  <c r="AC271" i="8"/>
  <c r="AD271" i="8"/>
  <c r="AE271" i="8"/>
  <c r="AF271" i="8"/>
  <c r="AH271" i="8"/>
  <c r="AI271" i="8"/>
  <c r="AJ271" i="8"/>
  <c r="AK271" i="8"/>
  <c r="H272" i="8"/>
  <c r="M272" i="8"/>
  <c r="R272" i="8"/>
  <c r="W272" i="8"/>
  <c r="W276" i="8" s="1"/>
  <c r="W277" i="8" s="1"/>
  <c r="AB272" i="8"/>
  <c r="AG272" i="8"/>
  <c r="AL272" i="8"/>
  <c r="H273" i="8"/>
  <c r="M273" i="8"/>
  <c r="R273" i="8"/>
  <c r="W273" i="8"/>
  <c r="AB273" i="8"/>
  <c r="AB276" i="8" s="1"/>
  <c r="AG273" i="8"/>
  <c r="AL273" i="8"/>
  <c r="H274" i="8"/>
  <c r="M274" i="8"/>
  <c r="R274" i="8"/>
  <c r="W274" i="8"/>
  <c r="AB274" i="8"/>
  <c r="AG274" i="8"/>
  <c r="AL274" i="8"/>
  <c r="H275" i="8"/>
  <c r="M275" i="8"/>
  <c r="R275" i="8"/>
  <c r="R276" i="8" s="1"/>
  <c r="R277" i="8" s="1"/>
  <c r="W275" i="8"/>
  <c r="AB275" i="8"/>
  <c r="AG275" i="8"/>
  <c r="AL275" i="8"/>
  <c r="D276" i="8"/>
  <c r="E276" i="8"/>
  <c r="F276" i="8"/>
  <c r="G276" i="8"/>
  <c r="I276" i="8"/>
  <c r="I277" i="8" s="1"/>
  <c r="J276" i="8"/>
  <c r="K276" i="8"/>
  <c r="L276" i="8"/>
  <c r="M276" i="8"/>
  <c r="N276" i="8"/>
  <c r="O276" i="8"/>
  <c r="P276" i="8"/>
  <c r="Q276" i="8"/>
  <c r="Q277" i="8" s="1"/>
  <c r="S276" i="8"/>
  <c r="T276" i="8"/>
  <c r="U276" i="8"/>
  <c r="U277" i="8" s="1"/>
  <c r="V276" i="8"/>
  <c r="X276" i="8"/>
  <c r="Y276" i="8"/>
  <c r="Y277" i="8" s="1"/>
  <c r="Z276" i="8"/>
  <c r="AA276" i="8"/>
  <c r="AC276" i="8"/>
  <c r="AC277" i="8" s="1"/>
  <c r="AD276" i="8"/>
  <c r="AE276" i="8"/>
  <c r="AF276" i="8"/>
  <c r="AG276" i="8"/>
  <c r="AH276" i="8"/>
  <c r="AH277" i="8" s="1"/>
  <c r="AI276" i="8"/>
  <c r="AJ276" i="8"/>
  <c r="AK276" i="8"/>
  <c r="AK277" i="8" s="1"/>
  <c r="AL276" i="8"/>
  <c r="D277" i="8"/>
  <c r="G277" i="8"/>
  <c r="K277" i="8"/>
  <c r="L277" i="8"/>
  <c r="N277" i="8"/>
  <c r="O277" i="8"/>
  <c r="P277" i="8"/>
  <c r="S277" i="8"/>
  <c r="T277" i="8"/>
  <c r="X277" i="8"/>
  <c r="Z277" i="8"/>
  <c r="AA277" i="8"/>
  <c r="AD277" i="8"/>
  <c r="AE277" i="8"/>
  <c r="AF277" i="8"/>
  <c r="AI277" i="8"/>
  <c r="AJ277" i="8"/>
  <c r="H278" i="8"/>
  <c r="M278" i="8"/>
  <c r="R278" i="8"/>
  <c r="W278" i="8"/>
  <c r="AB278" i="8"/>
  <c r="AG278" i="8"/>
  <c r="AL278" i="8"/>
  <c r="H279" i="8"/>
  <c r="M279" i="8"/>
  <c r="M282" i="8" s="1"/>
  <c r="R279" i="8"/>
  <c r="W279" i="8"/>
  <c r="AB279" i="8"/>
  <c r="AG279" i="8"/>
  <c r="AG282" i="8" s="1"/>
  <c r="AL279" i="8"/>
  <c r="H280" i="8"/>
  <c r="M280" i="8"/>
  <c r="R280" i="8"/>
  <c r="R282" i="8" s="1"/>
  <c r="W280" i="8"/>
  <c r="AB280" i="8"/>
  <c r="AG280" i="8"/>
  <c r="AL280" i="8"/>
  <c r="AL282" i="8" s="1"/>
  <c r="H281" i="8"/>
  <c r="M281" i="8"/>
  <c r="R281" i="8"/>
  <c r="W281" i="8"/>
  <c r="W282" i="8" s="1"/>
  <c r="AB281" i="8"/>
  <c r="AG281" i="8"/>
  <c r="AL281" i="8"/>
  <c r="D282" i="8"/>
  <c r="E282" i="8"/>
  <c r="F282" i="8"/>
  <c r="G282" i="8"/>
  <c r="H282" i="8"/>
  <c r="I282" i="8"/>
  <c r="J282" i="8"/>
  <c r="K282" i="8"/>
  <c r="L282" i="8"/>
  <c r="N282" i="8"/>
  <c r="O282" i="8"/>
  <c r="P282" i="8"/>
  <c r="Q282" i="8"/>
  <c r="S282" i="8"/>
  <c r="T282" i="8"/>
  <c r="U282" i="8"/>
  <c r="V282" i="8"/>
  <c r="X282" i="8"/>
  <c r="Y282" i="8"/>
  <c r="Z282" i="8"/>
  <c r="AA282" i="8"/>
  <c r="AB282" i="8"/>
  <c r="AC282" i="8"/>
  <c r="AD282" i="8"/>
  <c r="AE282" i="8"/>
  <c r="AF282" i="8"/>
  <c r="AH282" i="8"/>
  <c r="AI282" i="8"/>
  <c r="AJ282" i="8"/>
  <c r="AK282" i="8"/>
  <c r="H283" i="8"/>
  <c r="M283" i="8"/>
  <c r="R283" i="8"/>
  <c r="W283" i="8"/>
  <c r="AB283" i="8"/>
  <c r="AG283" i="8"/>
  <c r="AL283" i="8"/>
  <c r="H284" i="8"/>
  <c r="M284" i="8"/>
  <c r="R284" i="8"/>
  <c r="R287" i="8" s="1"/>
  <c r="W284" i="8"/>
  <c r="AB284" i="8"/>
  <c r="AG284" i="8"/>
  <c r="AL284" i="8"/>
  <c r="AL287" i="8" s="1"/>
  <c r="H285" i="8"/>
  <c r="M285" i="8"/>
  <c r="R285" i="8"/>
  <c r="W285" i="8"/>
  <c r="W287" i="8" s="1"/>
  <c r="AB285" i="8"/>
  <c r="AG285" i="8"/>
  <c r="AL285" i="8"/>
  <c r="H286" i="8"/>
  <c r="M286" i="8"/>
  <c r="R286" i="8"/>
  <c r="W286" i="8"/>
  <c r="AB286" i="8"/>
  <c r="AB287" i="8" s="1"/>
  <c r="AG286" i="8"/>
  <c r="AL286" i="8"/>
  <c r="D287" i="8"/>
  <c r="E287" i="8"/>
  <c r="F287" i="8"/>
  <c r="G287" i="8"/>
  <c r="I287" i="8"/>
  <c r="J287" i="8"/>
  <c r="K287" i="8"/>
  <c r="L287" i="8"/>
  <c r="M287" i="8"/>
  <c r="N287" i="8"/>
  <c r="O287" i="8"/>
  <c r="P287" i="8"/>
  <c r="Q287" i="8"/>
  <c r="S287" i="8"/>
  <c r="T287" i="8"/>
  <c r="U287" i="8"/>
  <c r="V287" i="8"/>
  <c r="X287" i="8"/>
  <c r="Y287" i="8"/>
  <c r="Z287" i="8"/>
  <c r="AA287" i="8"/>
  <c r="AC287" i="8"/>
  <c r="AD287" i="8"/>
  <c r="AE287" i="8"/>
  <c r="AF287" i="8"/>
  <c r="AG287" i="8"/>
  <c r="AH287" i="8"/>
  <c r="AI287" i="8"/>
  <c r="AJ287" i="8"/>
  <c r="AK287" i="8"/>
  <c r="H288" i="8"/>
  <c r="M288" i="8"/>
  <c r="R288" i="8"/>
  <c r="W288" i="8"/>
  <c r="AB288" i="8"/>
  <c r="AG288" i="8"/>
  <c r="AL288" i="8"/>
  <c r="H289" i="8"/>
  <c r="M289" i="8"/>
  <c r="R289" i="8"/>
  <c r="W289" i="8"/>
  <c r="W292" i="8" s="1"/>
  <c r="AB289" i="8"/>
  <c r="AG289" i="8"/>
  <c r="AL289" i="8"/>
  <c r="H290" i="8"/>
  <c r="M290" i="8"/>
  <c r="R290" i="8"/>
  <c r="W290" i="8"/>
  <c r="AB290" i="8"/>
  <c r="AB292" i="8" s="1"/>
  <c r="AG290" i="8"/>
  <c r="AL290" i="8"/>
  <c r="H291" i="8"/>
  <c r="M291" i="8"/>
  <c r="M292" i="8" s="1"/>
  <c r="R291" i="8"/>
  <c r="W291" i="8"/>
  <c r="AB291" i="8"/>
  <c r="AG291" i="8"/>
  <c r="AG292" i="8" s="1"/>
  <c r="AL291" i="8"/>
  <c r="D292" i="8"/>
  <c r="E292" i="8"/>
  <c r="F292" i="8"/>
  <c r="G292" i="8"/>
  <c r="I292" i="8"/>
  <c r="J292" i="8"/>
  <c r="K292" i="8"/>
  <c r="L292" i="8"/>
  <c r="N292" i="8"/>
  <c r="O292" i="8"/>
  <c r="P292" i="8"/>
  <c r="Q292" i="8"/>
  <c r="R292" i="8"/>
  <c r="S292" i="8"/>
  <c r="T292" i="8"/>
  <c r="U292" i="8"/>
  <c r="V292" i="8"/>
  <c r="X292" i="8"/>
  <c r="Y292" i="8"/>
  <c r="Z292" i="8"/>
  <c r="AA292" i="8"/>
  <c r="AC292" i="8"/>
  <c r="AD292" i="8"/>
  <c r="AE292" i="8"/>
  <c r="AF292" i="8"/>
  <c r="AH292" i="8"/>
  <c r="AI292" i="8"/>
  <c r="AJ292" i="8"/>
  <c r="AK292" i="8"/>
  <c r="AL292" i="8"/>
  <c r="H293" i="8"/>
  <c r="M293" i="8"/>
  <c r="R293" i="8"/>
  <c r="W293" i="8"/>
  <c r="AB293" i="8"/>
  <c r="AG293" i="8"/>
  <c r="AL293" i="8"/>
  <c r="H294" i="8"/>
  <c r="H297" i="8" s="1"/>
  <c r="M294" i="8"/>
  <c r="R294" i="8"/>
  <c r="W294" i="8"/>
  <c r="AB294" i="8"/>
  <c r="AB297" i="8" s="1"/>
  <c r="AG294" i="8"/>
  <c r="AL294" i="8"/>
  <c r="H295" i="8"/>
  <c r="M295" i="8"/>
  <c r="M297" i="8" s="1"/>
  <c r="R295" i="8"/>
  <c r="W295" i="8"/>
  <c r="AB295" i="8"/>
  <c r="AG295" i="8"/>
  <c r="AG297" i="8" s="1"/>
  <c r="AL295" i="8"/>
  <c r="H296" i="8"/>
  <c r="M296" i="8"/>
  <c r="R296" i="8"/>
  <c r="R297" i="8" s="1"/>
  <c r="W296" i="8"/>
  <c r="AB296" i="8"/>
  <c r="AG296" i="8"/>
  <c r="AL296" i="8"/>
  <c r="AL297" i="8" s="1"/>
  <c r="D297" i="8"/>
  <c r="E297" i="8"/>
  <c r="F297" i="8"/>
  <c r="G297" i="8"/>
  <c r="I297" i="8"/>
  <c r="J297" i="8"/>
  <c r="K297" i="8"/>
  <c r="L297" i="8"/>
  <c r="N297" i="8"/>
  <c r="O297" i="8"/>
  <c r="P297" i="8"/>
  <c r="Q297" i="8"/>
  <c r="S297" i="8"/>
  <c r="T297" i="8"/>
  <c r="U297" i="8"/>
  <c r="V297" i="8"/>
  <c r="W297" i="8"/>
  <c r="X297" i="8"/>
  <c r="Y297" i="8"/>
  <c r="Z297" i="8"/>
  <c r="AA297" i="8"/>
  <c r="AC297" i="8"/>
  <c r="AD297" i="8"/>
  <c r="AE297" i="8"/>
  <c r="AF297" i="8"/>
  <c r="AH297" i="8"/>
  <c r="AI297" i="8"/>
  <c r="AJ297" i="8"/>
  <c r="AK297" i="8"/>
  <c r="H298" i="8"/>
  <c r="M298" i="8"/>
  <c r="R298" i="8"/>
  <c r="W298" i="8"/>
  <c r="AB298" i="8"/>
  <c r="AG298" i="8"/>
  <c r="AL298" i="8"/>
  <c r="H299" i="8"/>
  <c r="M299" i="8"/>
  <c r="M302" i="8" s="1"/>
  <c r="R299" i="8"/>
  <c r="W299" i="8"/>
  <c r="AB299" i="8"/>
  <c r="AG299" i="8"/>
  <c r="AL299" i="8"/>
  <c r="H300" i="8"/>
  <c r="M300" i="8"/>
  <c r="R300" i="8"/>
  <c r="R302" i="8" s="1"/>
  <c r="W300" i="8"/>
  <c r="AB300" i="8"/>
  <c r="AG300" i="8"/>
  <c r="AL300" i="8"/>
  <c r="H301" i="8"/>
  <c r="M301" i="8"/>
  <c r="R301" i="8"/>
  <c r="W301" i="8"/>
  <c r="W302" i="8" s="1"/>
  <c r="AB301" i="8"/>
  <c r="AG301" i="8"/>
  <c r="AL301" i="8"/>
  <c r="D302" i="8"/>
  <c r="E302" i="8"/>
  <c r="F302" i="8"/>
  <c r="G302" i="8"/>
  <c r="H302" i="8"/>
  <c r="I302" i="8"/>
  <c r="J302" i="8"/>
  <c r="K302" i="8"/>
  <c r="L302" i="8"/>
  <c r="N302" i="8"/>
  <c r="O302" i="8"/>
  <c r="P302" i="8"/>
  <c r="Q302" i="8"/>
  <c r="S302" i="8"/>
  <c r="T302" i="8"/>
  <c r="U302" i="8"/>
  <c r="V302" i="8"/>
  <c r="X302" i="8"/>
  <c r="Y302" i="8"/>
  <c r="Z302" i="8"/>
  <c r="AA302" i="8"/>
  <c r="AB302" i="8"/>
  <c r="AC302" i="8"/>
  <c r="AD302" i="8"/>
  <c r="AF302" i="8"/>
  <c r="AG302" i="8"/>
  <c r="AH302" i="8"/>
  <c r="AI302" i="8"/>
  <c r="AJ302" i="8"/>
  <c r="AK302" i="8"/>
  <c r="H303" i="8"/>
  <c r="M303" i="8"/>
  <c r="R303" i="8"/>
  <c r="W303" i="8"/>
  <c r="AB303" i="8"/>
  <c r="AG303" i="8"/>
  <c r="AL303" i="8"/>
  <c r="H304" i="8"/>
  <c r="H307" i="8" s="1"/>
  <c r="M304" i="8"/>
  <c r="R304" i="8"/>
  <c r="W304" i="8"/>
  <c r="AB304" i="8"/>
  <c r="AB307" i="8" s="1"/>
  <c r="AG304" i="8"/>
  <c r="AL304" i="8"/>
  <c r="H305" i="8"/>
  <c r="M305" i="8"/>
  <c r="R305" i="8"/>
  <c r="R307" i="8" s="1"/>
  <c r="W305" i="8"/>
  <c r="AB305" i="8"/>
  <c r="AG305" i="8"/>
  <c r="AL305" i="8"/>
  <c r="H306" i="8"/>
  <c r="M306" i="8"/>
  <c r="R306" i="8"/>
  <c r="W306" i="8"/>
  <c r="AB306" i="8"/>
  <c r="AG306" i="8"/>
  <c r="AL306" i="8"/>
  <c r="AL307" i="8" s="1"/>
  <c r="D307" i="8"/>
  <c r="E307" i="8"/>
  <c r="F307" i="8"/>
  <c r="G307" i="8"/>
  <c r="I307" i="8"/>
  <c r="J307" i="8"/>
  <c r="K307" i="8"/>
  <c r="L307" i="8"/>
  <c r="N307" i="8"/>
  <c r="O307" i="8"/>
  <c r="P307" i="8"/>
  <c r="Q307" i="8"/>
  <c r="S307" i="8"/>
  <c r="T307" i="8"/>
  <c r="U307" i="8"/>
  <c r="V307" i="8"/>
  <c r="W307" i="8"/>
  <c r="X307" i="8"/>
  <c r="Y307" i="8"/>
  <c r="Z307" i="8"/>
  <c r="AA307" i="8"/>
  <c r="AC307" i="8"/>
  <c r="AD307" i="8"/>
  <c r="AF307" i="8"/>
  <c r="AH307" i="8"/>
  <c r="AI307" i="8"/>
  <c r="AJ307" i="8"/>
  <c r="AK307" i="8"/>
  <c r="H308" i="8"/>
  <c r="M308" i="8"/>
  <c r="R308" i="8"/>
  <c r="W308" i="8"/>
  <c r="AB308" i="8"/>
  <c r="AG308" i="8"/>
  <c r="AL308" i="8"/>
  <c r="H309" i="8"/>
  <c r="M309" i="8"/>
  <c r="R309" i="8"/>
  <c r="W309" i="8"/>
  <c r="AB309" i="8"/>
  <c r="AG309" i="8"/>
  <c r="AL309" i="8"/>
  <c r="H310" i="8"/>
  <c r="M310" i="8"/>
  <c r="M312" i="8" s="1"/>
  <c r="R310" i="8"/>
  <c r="W310" i="8"/>
  <c r="AB310" i="8"/>
  <c r="AB312" i="8" s="1"/>
  <c r="AG310" i="8"/>
  <c r="AL310" i="8"/>
  <c r="H311" i="8"/>
  <c r="M311" i="8"/>
  <c r="R311" i="8"/>
  <c r="W311" i="8"/>
  <c r="AB311" i="8"/>
  <c r="AG311" i="8"/>
  <c r="AG312" i="8" s="1"/>
  <c r="AL311" i="8"/>
  <c r="D312" i="8"/>
  <c r="E312" i="8"/>
  <c r="F312" i="8"/>
  <c r="G312" i="8"/>
  <c r="I312" i="8"/>
  <c r="J312" i="8"/>
  <c r="K312" i="8"/>
  <c r="L312" i="8"/>
  <c r="N312" i="8"/>
  <c r="O312" i="8"/>
  <c r="P312" i="8"/>
  <c r="Q312" i="8"/>
  <c r="S312" i="8"/>
  <c r="T312" i="8"/>
  <c r="U312" i="8"/>
  <c r="V312" i="8"/>
  <c r="W312" i="8"/>
  <c r="X312" i="8"/>
  <c r="Y312" i="8"/>
  <c r="Z312" i="8"/>
  <c r="AA312" i="8"/>
  <c r="AC312" i="8"/>
  <c r="AD312" i="8"/>
  <c r="AE312" i="8"/>
  <c r="AF312" i="8"/>
  <c r="AH312" i="8"/>
  <c r="AI312" i="8"/>
  <c r="AJ312" i="8"/>
  <c r="AK312" i="8"/>
  <c r="H313" i="8"/>
  <c r="M313" i="8"/>
  <c r="R313" i="8"/>
  <c r="W313" i="8"/>
  <c r="AB313" i="8"/>
  <c r="AG313" i="8"/>
  <c r="AG317" i="8" s="1"/>
  <c r="AL313" i="8"/>
  <c r="H314" i="8"/>
  <c r="M314" i="8"/>
  <c r="R314" i="8"/>
  <c r="W314" i="8"/>
  <c r="AB314" i="8"/>
  <c r="AG314" i="8"/>
  <c r="AL314" i="8"/>
  <c r="H315" i="8"/>
  <c r="H317" i="8" s="1"/>
  <c r="M315" i="8"/>
  <c r="R315" i="8"/>
  <c r="W315" i="8"/>
  <c r="W317" i="8" s="1"/>
  <c r="AB315" i="8"/>
  <c r="AB317" i="8" s="1"/>
  <c r="AG315" i="8"/>
  <c r="AL315" i="8"/>
  <c r="H316" i="8"/>
  <c r="M316" i="8"/>
  <c r="R316" i="8"/>
  <c r="W316" i="8"/>
  <c r="AB316" i="8"/>
  <c r="AG316" i="8"/>
  <c r="AL316" i="8"/>
  <c r="D317" i="8"/>
  <c r="E317" i="8"/>
  <c r="F317" i="8"/>
  <c r="G317" i="8"/>
  <c r="I317" i="8"/>
  <c r="J317" i="8"/>
  <c r="K317" i="8"/>
  <c r="L317" i="8"/>
  <c r="M317" i="8"/>
  <c r="N317" i="8"/>
  <c r="O317" i="8"/>
  <c r="P317" i="8"/>
  <c r="Q317" i="8"/>
  <c r="S317" i="8"/>
  <c r="T317" i="8"/>
  <c r="U317" i="8"/>
  <c r="V317" i="8"/>
  <c r="X317" i="8"/>
  <c r="Y317" i="8"/>
  <c r="Z317" i="8"/>
  <c r="AA317" i="8"/>
  <c r="AC317" i="8"/>
  <c r="AD317" i="8"/>
  <c r="AE317" i="8"/>
  <c r="AF317" i="8"/>
  <c r="AH317" i="8"/>
  <c r="AI317" i="8"/>
  <c r="AJ317" i="8"/>
  <c r="AK317" i="8"/>
  <c r="H318" i="8"/>
  <c r="M318" i="8"/>
  <c r="R318" i="8"/>
  <c r="W318" i="8"/>
  <c r="AB318" i="8"/>
  <c r="AB322" i="8" s="1"/>
  <c r="AG318" i="8"/>
  <c r="AL318" i="8"/>
  <c r="H319" i="8"/>
  <c r="M319" i="8"/>
  <c r="R319" i="8"/>
  <c r="W319" i="8"/>
  <c r="AB319" i="8"/>
  <c r="AG319" i="8"/>
  <c r="AL319" i="8"/>
  <c r="H320" i="8"/>
  <c r="M320" i="8"/>
  <c r="R320" i="8"/>
  <c r="W320" i="8"/>
  <c r="W322" i="8" s="1"/>
  <c r="AB320" i="8"/>
  <c r="AG320" i="8"/>
  <c r="AL320" i="8"/>
  <c r="H321" i="8"/>
  <c r="M321" i="8"/>
  <c r="R321" i="8"/>
  <c r="W321" i="8"/>
  <c r="AB321" i="8"/>
  <c r="AG321" i="8"/>
  <c r="AL321" i="8"/>
  <c r="D322" i="8"/>
  <c r="E322" i="8"/>
  <c r="F322" i="8"/>
  <c r="G322" i="8"/>
  <c r="H322" i="8"/>
  <c r="I322" i="8"/>
  <c r="J322" i="8"/>
  <c r="K322" i="8"/>
  <c r="L322" i="8"/>
  <c r="M322" i="8"/>
  <c r="N322" i="8"/>
  <c r="O322" i="8"/>
  <c r="P322" i="8"/>
  <c r="Q322" i="8"/>
  <c r="S322" i="8"/>
  <c r="T322" i="8"/>
  <c r="U322" i="8"/>
  <c r="V322" i="8"/>
  <c r="X322" i="8"/>
  <c r="Y322" i="8"/>
  <c r="Z322" i="8"/>
  <c r="AA322" i="8"/>
  <c r="AC322" i="8"/>
  <c r="AD322" i="8"/>
  <c r="AE322" i="8"/>
  <c r="AF322" i="8"/>
  <c r="AG322" i="8"/>
  <c r="AH322" i="8"/>
  <c r="AI322" i="8"/>
  <c r="AJ322" i="8"/>
  <c r="AK322" i="8"/>
  <c r="H323" i="8"/>
  <c r="M323" i="8"/>
  <c r="R323" i="8"/>
  <c r="W323" i="8"/>
  <c r="AB323" i="8"/>
  <c r="AG323" i="8"/>
  <c r="AL323" i="8"/>
  <c r="H324" i="8"/>
  <c r="M324" i="8"/>
  <c r="M327" i="8" s="1"/>
  <c r="R324" i="8"/>
  <c r="W324" i="8"/>
  <c r="AB324" i="8"/>
  <c r="AG324" i="8"/>
  <c r="AG327" i="8" s="1"/>
  <c r="AL324" i="8"/>
  <c r="H325" i="8"/>
  <c r="M325" i="8"/>
  <c r="R325" i="8"/>
  <c r="R327" i="8" s="1"/>
  <c r="W325" i="8"/>
  <c r="AB325" i="8"/>
  <c r="AG325" i="8"/>
  <c r="AL325" i="8"/>
  <c r="AL327" i="8" s="1"/>
  <c r="H326" i="8"/>
  <c r="M326" i="8"/>
  <c r="R326" i="8"/>
  <c r="W326" i="8"/>
  <c r="AB326" i="8"/>
  <c r="AG326" i="8"/>
  <c r="AL326" i="8"/>
  <c r="D327" i="8"/>
  <c r="E327" i="8"/>
  <c r="F327" i="8"/>
  <c r="G327" i="8"/>
  <c r="H327" i="8"/>
  <c r="I327" i="8"/>
  <c r="J327" i="8"/>
  <c r="K327" i="8"/>
  <c r="L327" i="8"/>
  <c r="N327" i="8"/>
  <c r="O327" i="8"/>
  <c r="P327" i="8"/>
  <c r="Q327" i="8"/>
  <c r="S327" i="8"/>
  <c r="T327" i="8"/>
  <c r="U327" i="8"/>
  <c r="V327" i="8"/>
  <c r="W327" i="8"/>
  <c r="X327" i="8"/>
  <c r="Y327" i="8"/>
  <c r="Z327" i="8"/>
  <c r="AA327" i="8"/>
  <c r="AB327" i="8"/>
  <c r="AC327" i="8"/>
  <c r="AD327" i="8"/>
  <c r="AE327" i="8"/>
  <c r="AF327" i="8"/>
  <c r="AH327" i="8"/>
  <c r="AI327" i="8"/>
  <c r="AJ327" i="8"/>
  <c r="AK327" i="8"/>
  <c r="H328" i="8"/>
  <c r="M328" i="8"/>
  <c r="R328" i="8"/>
  <c r="W328" i="8"/>
  <c r="AB328" i="8"/>
  <c r="AB332" i="8" s="1"/>
  <c r="AG328" i="8"/>
  <c r="AL328" i="8"/>
  <c r="H329" i="8"/>
  <c r="M329" i="8"/>
  <c r="R329" i="8"/>
  <c r="W329" i="8"/>
  <c r="AB329" i="8"/>
  <c r="AG329" i="8"/>
  <c r="AL329" i="8"/>
  <c r="H330" i="8"/>
  <c r="M330" i="8"/>
  <c r="R330" i="8"/>
  <c r="W330" i="8"/>
  <c r="W332" i="8" s="1"/>
  <c r="AB330" i="8"/>
  <c r="AG330" i="8"/>
  <c r="AL330" i="8"/>
  <c r="H331" i="8"/>
  <c r="M331" i="8"/>
  <c r="R331" i="8"/>
  <c r="W331" i="8"/>
  <c r="AB331" i="8"/>
  <c r="AG331" i="8"/>
  <c r="AL331" i="8"/>
  <c r="D332" i="8"/>
  <c r="E332" i="8"/>
  <c r="F332" i="8"/>
  <c r="G332" i="8"/>
  <c r="H332" i="8"/>
  <c r="I332" i="8"/>
  <c r="J332" i="8"/>
  <c r="K332" i="8"/>
  <c r="L332" i="8"/>
  <c r="M332" i="8"/>
  <c r="N332" i="8"/>
  <c r="O332" i="8"/>
  <c r="P332" i="8"/>
  <c r="Q332" i="8"/>
  <c r="S332" i="8"/>
  <c r="T332" i="8"/>
  <c r="U332" i="8"/>
  <c r="V332" i="8"/>
  <c r="X332" i="8"/>
  <c r="Y332" i="8"/>
  <c r="Z332" i="8"/>
  <c r="AA332" i="8"/>
  <c r="AC332" i="8"/>
  <c r="AD332" i="8"/>
  <c r="AE332" i="8"/>
  <c r="AF332" i="8"/>
  <c r="AG332" i="8"/>
  <c r="AH332" i="8"/>
  <c r="AI332" i="8"/>
  <c r="AJ332" i="8"/>
  <c r="AK332" i="8"/>
  <c r="H333" i="8"/>
  <c r="M333" i="8"/>
  <c r="R333" i="8"/>
  <c r="W333" i="8"/>
  <c r="W337" i="8" s="1"/>
  <c r="AB333" i="8"/>
  <c r="AG333" i="8"/>
  <c r="AL333" i="8"/>
  <c r="H334" i="8"/>
  <c r="M334" i="8"/>
  <c r="M337" i="8" s="1"/>
  <c r="R334" i="8"/>
  <c r="W334" i="8"/>
  <c r="AB334" i="8"/>
  <c r="AG334" i="8"/>
  <c r="AL334" i="8"/>
  <c r="H335" i="8"/>
  <c r="M335" i="8"/>
  <c r="R335" i="8"/>
  <c r="R337" i="8" s="1"/>
  <c r="W335" i="8"/>
  <c r="AB335" i="8"/>
  <c r="AG335" i="8"/>
  <c r="AL335" i="8"/>
  <c r="AL337" i="8" s="1"/>
  <c r="H336" i="8"/>
  <c r="M336" i="8"/>
  <c r="R336" i="8"/>
  <c r="W336" i="8"/>
  <c r="AB336" i="8"/>
  <c r="AG336" i="8"/>
  <c r="AL336" i="8"/>
  <c r="D337" i="8"/>
  <c r="E337" i="8"/>
  <c r="F337" i="8"/>
  <c r="G337" i="8"/>
  <c r="H337" i="8"/>
  <c r="I337" i="8"/>
  <c r="J337" i="8"/>
  <c r="K337" i="8"/>
  <c r="L337" i="8"/>
  <c r="N337" i="8"/>
  <c r="O337" i="8"/>
  <c r="P337" i="8"/>
  <c r="Q337" i="8"/>
  <c r="S337" i="8"/>
  <c r="T337" i="8"/>
  <c r="U337" i="8"/>
  <c r="V337" i="8"/>
  <c r="X337" i="8"/>
  <c r="Y337" i="8"/>
  <c r="Z337" i="8"/>
  <c r="AA337" i="8"/>
  <c r="AB337" i="8"/>
  <c r="AC337" i="8"/>
  <c r="AD337" i="8"/>
  <c r="AE337" i="8"/>
  <c r="AF337" i="8"/>
  <c r="AG337" i="8"/>
  <c r="AH337" i="8"/>
  <c r="AI337" i="8"/>
  <c r="AJ337" i="8"/>
  <c r="AK337" i="8"/>
  <c r="H338" i="8"/>
  <c r="M338" i="8"/>
  <c r="R338" i="8"/>
  <c r="W338" i="8"/>
  <c r="W342" i="8" s="1"/>
  <c r="AB338" i="8"/>
  <c r="AG338" i="8"/>
  <c r="AL338" i="8"/>
  <c r="H339" i="8"/>
  <c r="M339" i="8"/>
  <c r="R339" i="8"/>
  <c r="W339" i="8"/>
  <c r="AB339" i="8"/>
  <c r="AG339" i="8"/>
  <c r="AL339" i="8"/>
  <c r="H340" i="8"/>
  <c r="M340" i="8"/>
  <c r="M342" i="8" s="1"/>
  <c r="R340" i="8"/>
  <c r="W340" i="8"/>
  <c r="AB340" i="8"/>
  <c r="AG340" i="8"/>
  <c r="AL340" i="8"/>
  <c r="H341" i="8"/>
  <c r="M341" i="8"/>
  <c r="R341" i="8"/>
  <c r="W341" i="8"/>
  <c r="AB341" i="8"/>
  <c r="AG341" i="8"/>
  <c r="AL341" i="8"/>
  <c r="D342" i="8"/>
  <c r="E342" i="8"/>
  <c r="F342" i="8"/>
  <c r="G342" i="8"/>
  <c r="I342" i="8"/>
  <c r="J342" i="8"/>
  <c r="K342" i="8"/>
  <c r="L342" i="8"/>
  <c r="N342" i="8"/>
  <c r="O342" i="8"/>
  <c r="P342" i="8"/>
  <c r="Q342" i="8"/>
  <c r="S342" i="8"/>
  <c r="T342" i="8"/>
  <c r="U342" i="8"/>
  <c r="V342" i="8"/>
  <c r="X342" i="8"/>
  <c r="Y342" i="8"/>
  <c r="Z342" i="8"/>
  <c r="AA342" i="8"/>
  <c r="AC342" i="8"/>
  <c r="AD342" i="8"/>
  <c r="AE342" i="8"/>
  <c r="AF342" i="8"/>
  <c r="AG342" i="8"/>
  <c r="AH342" i="8"/>
  <c r="AI342" i="8"/>
  <c r="AJ342" i="8"/>
  <c r="AK342" i="8"/>
  <c r="H343" i="8"/>
  <c r="M343" i="8"/>
  <c r="R343" i="8"/>
  <c r="W343" i="8"/>
  <c r="AB343" i="8"/>
  <c r="AG343" i="8"/>
  <c r="AL343" i="8"/>
  <c r="H344" i="8"/>
  <c r="M344" i="8"/>
  <c r="R344" i="8"/>
  <c r="W344" i="8"/>
  <c r="AB344" i="8"/>
  <c r="AG344" i="8"/>
  <c r="AL344" i="8"/>
  <c r="H345" i="8"/>
  <c r="M345" i="8"/>
  <c r="R345" i="8"/>
  <c r="R347" i="8" s="1"/>
  <c r="W345" i="8"/>
  <c r="AB345" i="8"/>
  <c r="AG345" i="8"/>
  <c r="AL345" i="8"/>
  <c r="H346" i="8"/>
  <c r="M346" i="8"/>
  <c r="R346" i="8"/>
  <c r="W346" i="8"/>
  <c r="W347" i="8" s="1"/>
  <c r="W348" i="8" s="1"/>
  <c r="AB346" i="8"/>
  <c r="AG346" i="8"/>
  <c r="AL346" i="8"/>
  <c r="D347" i="8"/>
  <c r="D348" i="8" s="1"/>
  <c r="E347" i="8"/>
  <c r="F347" i="8"/>
  <c r="F348" i="8" s="1"/>
  <c r="G347" i="8"/>
  <c r="G348" i="8" s="1"/>
  <c r="I347" i="8"/>
  <c r="I348" i="8" s="1"/>
  <c r="J347" i="8"/>
  <c r="J348" i="8" s="1"/>
  <c r="K347" i="8"/>
  <c r="L347" i="8"/>
  <c r="M347" i="8"/>
  <c r="M348" i="8" s="1"/>
  <c r="N347" i="8"/>
  <c r="N348" i="8" s="1"/>
  <c r="O347" i="8"/>
  <c r="P347" i="8"/>
  <c r="Q347" i="8"/>
  <c r="Q348" i="8" s="1"/>
  <c r="S347" i="8"/>
  <c r="T347" i="8"/>
  <c r="U347" i="8"/>
  <c r="U348" i="8" s="1"/>
  <c r="V347" i="8"/>
  <c r="V348" i="8" s="1"/>
  <c r="X347" i="8"/>
  <c r="Y347" i="8"/>
  <c r="Y348" i="8" s="1"/>
  <c r="Z347" i="8"/>
  <c r="Z348" i="8" s="1"/>
  <c r="AA347" i="8"/>
  <c r="AC347" i="8"/>
  <c r="AD347" i="8"/>
  <c r="AD348" i="8" s="1"/>
  <c r="AE347" i="8"/>
  <c r="AF347" i="8"/>
  <c r="AG347" i="8"/>
  <c r="AH347" i="8"/>
  <c r="AH348" i="8" s="1"/>
  <c r="AI347" i="8"/>
  <c r="AJ347" i="8"/>
  <c r="AK347" i="8"/>
  <c r="AL347" i="8"/>
  <c r="E348" i="8"/>
  <c r="K348" i="8"/>
  <c r="O348" i="8"/>
  <c r="S348" i="8"/>
  <c r="AA348" i="8"/>
  <c r="AC348" i="8"/>
  <c r="AE348" i="8"/>
  <c r="AG348" i="8"/>
  <c r="AI348" i="8"/>
  <c r="AK348" i="8"/>
  <c r="H349" i="8"/>
  <c r="M349" i="8"/>
  <c r="R349" i="8"/>
  <c r="W349" i="8"/>
  <c r="AB349" i="8"/>
  <c r="AG349" i="8"/>
  <c r="AL349" i="8"/>
  <c r="H350" i="8"/>
  <c r="M350" i="8"/>
  <c r="R350" i="8"/>
  <c r="W350" i="8"/>
  <c r="AB350" i="8"/>
  <c r="AG350" i="8"/>
  <c r="AL350" i="8"/>
  <c r="H351" i="8"/>
  <c r="H353" i="8" s="1"/>
  <c r="M351" i="8"/>
  <c r="R351" i="8"/>
  <c r="W351" i="8"/>
  <c r="AB351" i="8"/>
  <c r="AB353" i="8" s="1"/>
  <c r="AG351" i="8"/>
  <c r="AL351" i="8"/>
  <c r="H352" i="8"/>
  <c r="M352" i="8"/>
  <c r="M353" i="8" s="1"/>
  <c r="R352" i="8"/>
  <c r="W352" i="8"/>
  <c r="AB352" i="8"/>
  <c r="AG352" i="8"/>
  <c r="AG353" i="8" s="1"/>
  <c r="AL352" i="8"/>
  <c r="D353" i="8"/>
  <c r="E353" i="8"/>
  <c r="F353" i="8"/>
  <c r="G353" i="8"/>
  <c r="I353" i="8"/>
  <c r="J353" i="8"/>
  <c r="K353" i="8"/>
  <c r="L353" i="8"/>
  <c r="N353" i="8"/>
  <c r="O353" i="8"/>
  <c r="P353" i="8"/>
  <c r="Q353" i="8"/>
  <c r="S353" i="8"/>
  <c r="T353" i="8"/>
  <c r="U353" i="8"/>
  <c r="V353" i="8"/>
  <c r="W353" i="8"/>
  <c r="X353" i="8"/>
  <c r="Y353" i="8"/>
  <c r="Z353" i="8"/>
  <c r="AA353" i="8"/>
  <c r="AC353" i="8"/>
  <c r="AD353" i="8"/>
  <c r="AE353" i="8"/>
  <c r="AF353" i="8"/>
  <c r="AH353" i="8"/>
  <c r="AI353" i="8"/>
  <c r="AJ353" i="8"/>
  <c r="AK353" i="8"/>
  <c r="H354" i="8"/>
  <c r="M354" i="8"/>
  <c r="R354" i="8"/>
  <c r="W354" i="8"/>
  <c r="AB354" i="8"/>
  <c r="AG354" i="8"/>
  <c r="AG358" i="8" s="1"/>
  <c r="AG359" i="8" s="1"/>
  <c r="AL354" i="8"/>
  <c r="H355" i="8"/>
  <c r="M355" i="8"/>
  <c r="R355" i="8"/>
  <c r="R358" i="8" s="1"/>
  <c r="W355" i="8"/>
  <c r="AB355" i="8"/>
  <c r="AG355" i="8"/>
  <c r="AL355" i="8"/>
  <c r="AL358" i="8" s="1"/>
  <c r="H356" i="8"/>
  <c r="M356" i="8"/>
  <c r="R356" i="8"/>
  <c r="W356" i="8"/>
  <c r="W358" i="8" s="1"/>
  <c r="W359" i="8" s="1"/>
  <c r="AB356" i="8"/>
  <c r="AG356" i="8"/>
  <c r="AL356" i="8"/>
  <c r="H357" i="8"/>
  <c r="M357" i="8"/>
  <c r="R357" i="8"/>
  <c r="W357" i="8"/>
  <c r="AB357" i="8"/>
  <c r="AB358" i="8" s="1"/>
  <c r="AB359" i="8" s="1"/>
  <c r="AG357" i="8"/>
  <c r="AL357" i="8"/>
  <c r="D358" i="8"/>
  <c r="E358" i="8"/>
  <c r="E359" i="8" s="1"/>
  <c r="F358" i="8"/>
  <c r="G358" i="8"/>
  <c r="I358" i="8"/>
  <c r="I359" i="8" s="1"/>
  <c r="J358" i="8"/>
  <c r="K358" i="8"/>
  <c r="L358" i="8"/>
  <c r="M358" i="8"/>
  <c r="N358" i="8"/>
  <c r="O358" i="8"/>
  <c r="P358" i="8"/>
  <c r="Q358" i="8"/>
  <c r="Q359" i="8" s="1"/>
  <c r="S358" i="8"/>
  <c r="T358" i="8"/>
  <c r="U358" i="8"/>
  <c r="V358" i="8"/>
  <c r="V359" i="8" s="1"/>
  <c r="X358" i="8"/>
  <c r="Y358" i="8"/>
  <c r="Z358" i="8"/>
  <c r="Z359" i="8" s="1"/>
  <c r="AA358" i="8"/>
  <c r="AC358" i="8"/>
  <c r="AD358" i="8"/>
  <c r="AE358" i="8"/>
  <c r="AF358" i="8"/>
  <c r="AH358" i="8"/>
  <c r="AI358" i="8"/>
  <c r="AJ358" i="8"/>
  <c r="AK358" i="8"/>
  <c r="D359" i="8"/>
  <c r="F359" i="8"/>
  <c r="G359" i="8"/>
  <c r="J359" i="8"/>
  <c r="K359" i="8"/>
  <c r="L359" i="8"/>
  <c r="N359" i="8"/>
  <c r="O359" i="8"/>
  <c r="P359" i="8"/>
  <c r="S359" i="8"/>
  <c r="T359" i="8"/>
  <c r="U359" i="8"/>
  <c r="X359" i="8"/>
  <c r="Y359" i="8"/>
  <c r="AA359" i="8"/>
  <c r="AC359" i="8"/>
  <c r="AD359" i="8"/>
  <c r="AE359" i="8"/>
  <c r="AF359" i="8"/>
  <c r="AH359" i="8"/>
  <c r="AI359" i="8"/>
  <c r="AJ359" i="8"/>
  <c r="AK359" i="8"/>
  <c r="H360" i="8"/>
  <c r="M360" i="8"/>
  <c r="R360" i="8"/>
  <c r="W360" i="8"/>
  <c r="AB360" i="8"/>
  <c r="AG360" i="8"/>
  <c r="AL360" i="8"/>
  <c r="H361" i="8"/>
  <c r="M361" i="8"/>
  <c r="M364" i="8" s="1"/>
  <c r="R361" i="8"/>
  <c r="W361" i="8"/>
  <c r="AB361" i="8"/>
  <c r="AG361" i="8"/>
  <c r="AG364" i="8" s="1"/>
  <c r="AL361" i="8"/>
  <c r="H362" i="8"/>
  <c r="M362" i="8"/>
  <c r="R362" i="8"/>
  <c r="R364" i="8" s="1"/>
  <c r="W362" i="8"/>
  <c r="AB362" i="8"/>
  <c r="AG362" i="8"/>
  <c r="AL362" i="8"/>
  <c r="AL364" i="8" s="1"/>
  <c r="H363" i="8"/>
  <c r="M363" i="8"/>
  <c r="R363" i="8"/>
  <c r="W363" i="8"/>
  <c r="W364" i="8" s="1"/>
  <c r="AB363" i="8"/>
  <c r="AG363" i="8"/>
  <c r="AL363" i="8"/>
  <c r="D364" i="8"/>
  <c r="E364" i="8"/>
  <c r="F364" i="8"/>
  <c r="G364" i="8"/>
  <c r="H364" i="8"/>
  <c r="I364" i="8"/>
  <c r="J364" i="8"/>
  <c r="K364" i="8"/>
  <c r="L364" i="8"/>
  <c r="N364" i="8"/>
  <c r="O364" i="8"/>
  <c r="P364" i="8"/>
  <c r="Q364" i="8"/>
  <c r="S364" i="8"/>
  <c r="T364" i="8"/>
  <c r="U364" i="8"/>
  <c r="V364" i="8"/>
  <c r="X364" i="8"/>
  <c r="Y364" i="8"/>
  <c r="Z364" i="8"/>
  <c r="AA364" i="8"/>
  <c r="AB364" i="8"/>
  <c r="AC364" i="8"/>
  <c r="AD364" i="8"/>
  <c r="AE364" i="8"/>
  <c r="AF364" i="8"/>
  <c r="AH364" i="8"/>
  <c r="AI364" i="8"/>
  <c r="AJ364" i="8"/>
  <c r="AK364" i="8"/>
  <c r="H365" i="8"/>
  <c r="M365" i="8"/>
  <c r="R365" i="8"/>
  <c r="W365" i="8"/>
  <c r="AB365" i="8"/>
  <c r="AG365" i="8"/>
  <c r="AL365" i="8"/>
  <c r="H366" i="8"/>
  <c r="M366" i="8"/>
  <c r="R366" i="8"/>
  <c r="R369" i="8" s="1"/>
  <c r="W366" i="8"/>
  <c r="AB366" i="8"/>
  <c r="AG366" i="8"/>
  <c r="AL366" i="8"/>
  <c r="AL369" i="8" s="1"/>
  <c r="H367" i="8"/>
  <c r="M367" i="8"/>
  <c r="R367" i="8"/>
  <c r="W367" i="8"/>
  <c r="W369" i="8" s="1"/>
  <c r="AB367" i="8"/>
  <c r="AG367" i="8"/>
  <c r="AL367" i="8"/>
  <c r="H368" i="8"/>
  <c r="M368" i="8"/>
  <c r="R368" i="8"/>
  <c r="W368" i="8"/>
  <c r="AB368" i="8"/>
  <c r="AB369" i="8" s="1"/>
  <c r="AG368" i="8"/>
  <c r="AL368" i="8"/>
  <c r="D369" i="8"/>
  <c r="E369" i="8"/>
  <c r="F369" i="8"/>
  <c r="G369" i="8"/>
  <c r="I369" i="8"/>
  <c r="J369" i="8"/>
  <c r="K369" i="8"/>
  <c r="L369" i="8"/>
  <c r="M369" i="8"/>
  <c r="N369" i="8"/>
  <c r="O369" i="8"/>
  <c r="P369" i="8"/>
  <c r="Q369" i="8"/>
  <c r="S369" i="8"/>
  <c r="T369" i="8"/>
  <c r="U369" i="8"/>
  <c r="V369" i="8"/>
  <c r="X369" i="8"/>
  <c r="Y369" i="8"/>
  <c r="Z369" i="8"/>
  <c r="AA369" i="8"/>
  <c r="AC369" i="8"/>
  <c r="AD369" i="8"/>
  <c r="AE369" i="8"/>
  <c r="AF369" i="8"/>
  <c r="AG369" i="8"/>
  <c r="AH369" i="8"/>
  <c r="AI369" i="8"/>
  <c r="AJ369" i="8"/>
  <c r="AK369" i="8"/>
  <c r="H370" i="8"/>
  <c r="M370" i="8"/>
  <c r="R370" i="8"/>
  <c r="W370" i="8"/>
  <c r="AB370" i="8"/>
  <c r="AG370" i="8"/>
  <c r="AL370" i="8"/>
  <c r="H371" i="8"/>
  <c r="M371" i="8"/>
  <c r="R371" i="8"/>
  <c r="W371" i="8"/>
  <c r="W374" i="8" s="1"/>
  <c r="AB371" i="8"/>
  <c r="AG371" i="8"/>
  <c r="AL371" i="8"/>
  <c r="H372" i="8"/>
  <c r="M372" i="8"/>
  <c r="R372" i="8"/>
  <c r="W372" i="8"/>
  <c r="AB372" i="8"/>
  <c r="AB374" i="8" s="1"/>
  <c r="AG372" i="8"/>
  <c r="AL372" i="8"/>
  <c r="H373" i="8"/>
  <c r="M373" i="8"/>
  <c r="M374" i="8" s="1"/>
  <c r="R373" i="8"/>
  <c r="W373" i="8"/>
  <c r="AB373" i="8"/>
  <c r="AG373" i="8"/>
  <c r="AG374" i="8" s="1"/>
  <c r="AL373" i="8"/>
  <c r="D374" i="8"/>
  <c r="E374" i="8"/>
  <c r="F374" i="8"/>
  <c r="G374" i="8"/>
  <c r="I374" i="8"/>
  <c r="J374" i="8"/>
  <c r="K374" i="8"/>
  <c r="L374" i="8"/>
  <c r="N374" i="8"/>
  <c r="O374" i="8"/>
  <c r="P374" i="8"/>
  <c r="Q374" i="8"/>
  <c r="R374" i="8"/>
  <c r="S374" i="8"/>
  <c r="T374" i="8"/>
  <c r="U374" i="8"/>
  <c r="V374" i="8"/>
  <c r="X374" i="8"/>
  <c r="Y374" i="8"/>
  <c r="Z374" i="8"/>
  <c r="AA374" i="8"/>
  <c r="AC374" i="8"/>
  <c r="AD374" i="8"/>
  <c r="AE374" i="8"/>
  <c r="AF374" i="8"/>
  <c r="AH374" i="8"/>
  <c r="AI374" i="8"/>
  <c r="AJ374" i="8"/>
  <c r="AK374" i="8"/>
  <c r="AL374" i="8"/>
  <c r="H375" i="8"/>
  <c r="M375" i="8"/>
  <c r="R375" i="8"/>
  <c r="W375" i="8"/>
  <c r="AB375" i="8"/>
  <c r="AG375" i="8"/>
  <c r="AL375" i="8"/>
  <c r="H376" i="8"/>
  <c r="M376" i="8"/>
  <c r="M379" i="8" s="1"/>
  <c r="R376" i="8"/>
  <c r="W376" i="8"/>
  <c r="AB376" i="8"/>
  <c r="AB379" i="8" s="1"/>
  <c r="AG376" i="8"/>
  <c r="AG379" i="8" s="1"/>
  <c r="AL376" i="8"/>
  <c r="H377" i="8"/>
  <c r="M377" i="8"/>
  <c r="R377" i="8"/>
  <c r="W377" i="8"/>
  <c r="AB377" i="8"/>
  <c r="AG377" i="8"/>
  <c r="AL377" i="8"/>
  <c r="H378" i="8"/>
  <c r="M378" i="8"/>
  <c r="R378" i="8"/>
  <c r="R379" i="8" s="1"/>
  <c r="W378" i="8"/>
  <c r="AB378" i="8"/>
  <c r="AG378" i="8"/>
  <c r="AL378" i="8"/>
  <c r="AL379" i="8" s="1"/>
  <c r="D379" i="8"/>
  <c r="E379" i="8"/>
  <c r="F379" i="8"/>
  <c r="G379" i="8"/>
  <c r="I379" i="8"/>
  <c r="J379" i="8"/>
  <c r="K379" i="8"/>
  <c r="L379" i="8"/>
  <c r="N379" i="8"/>
  <c r="O379" i="8"/>
  <c r="P379" i="8"/>
  <c r="Q379" i="8"/>
  <c r="S379" i="8"/>
  <c r="T379" i="8"/>
  <c r="U379" i="8"/>
  <c r="V379" i="8"/>
  <c r="W379" i="8"/>
  <c r="X379" i="8"/>
  <c r="Y379" i="8"/>
  <c r="Z379" i="8"/>
  <c r="AA379" i="8"/>
  <c r="AC379" i="8"/>
  <c r="AD379" i="8"/>
  <c r="AE379" i="8"/>
  <c r="AF379" i="8"/>
  <c r="AH379" i="8"/>
  <c r="AI379" i="8"/>
  <c r="AJ379" i="8"/>
  <c r="AK379" i="8"/>
  <c r="H380" i="8"/>
  <c r="M380" i="8"/>
  <c r="R380" i="8"/>
  <c r="W380" i="8"/>
  <c r="AB380" i="8"/>
  <c r="AG380" i="8"/>
  <c r="AL380" i="8"/>
  <c r="H381" i="8"/>
  <c r="M381" i="8"/>
  <c r="M384" i="8" s="1"/>
  <c r="R381" i="8"/>
  <c r="R384" i="8" s="1"/>
  <c r="W381" i="8"/>
  <c r="AB381" i="8"/>
  <c r="AG381" i="8"/>
  <c r="AG384" i="8" s="1"/>
  <c r="AL381" i="8"/>
  <c r="H382" i="8"/>
  <c r="M382" i="8"/>
  <c r="R382" i="8"/>
  <c r="W382" i="8"/>
  <c r="AB382" i="8"/>
  <c r="AG382" i="8"/>
  <c r="AL382" i="8"/>
  <c r="AL384" i="8" s="1"/>
  <c r="H383" i="8"/>
  <c r="M383" i="8"/>
  <c r="R383" i="8"/>
  <c r="W383" i="8"/>
  <c r="W384" i="8" s="1"/>
  <c r="AB383" i="8"/>
  <c r="AG383" i="8"/>
  <c r="AL383" i="8"/>
  <c r="D384" i="8"/>
  <c r="E384" i="8"/>
  <c r="F384" i="8"/>
  <c r="G384" i="8"/>
  <c r="H384" i="8"/>
  <c r="I384" i="8"/>
  <c r="J384" i="8"/>
  <c r="K384" i="8"/>
  <c r="L384" i="8"/>
  <c r="N384" i="8"/>
  <c r="O384" i="8"/>
  <c r="P384" i="8"/>
  <c r="Q384" i="8"/>
  <c r="S384" i="8"/>
  <c r="T384" i="8"/>
  <c r="U384" i="8"/>
  <c r="V384" i="8"/>
  <c r="X384" i="8"/>
  <c r="Y384" i="8"/>
  <c r="Z384" i="8"/>
  <c r="AA384" i="8"/>
  <c r="AB384" i="8"/>
  <c r="AC384" i="8"/>
  <c r="AD384" i="8"/>
  <c r="AE384" i="8"/>
  <c r="AF384" i="8"/>
  <c r="AH384" i="8"/>
  <c r="AI384" i="8"/>
  <c r="AJ384" i="8"/>
  <c r="AK384" i="8"/>
  <c r="H385" i="8"/>
  <c r="M385" i="8"/>
  <c r="R385" i="8"/>
  <c r="W385" i="8"/>
  <c r="AB385" i="8"/>
  <c r="AG385" i="8"/>
  <c r="AL385" i="8"/>
  <c r="H386" i="8"/>
  <c r="M386" i="8"/>
  <c r="R386" i="8"/>
  <c r="R389" i="8" s="1"/>
  <c r="W386" i="8"/>
  <c r="AB386" i="8"/>
  <c r="AG386" i="8"/>
  <c r="AL386" i="8"/>
  <c r="AL389" i="8" s="1"/>
  <c r="H387" i="8"/>
  <c r="M387" i="8"/>
  <c r="R387" i="8"/>
  <c r="W387" i="8"/>
  <c r="W389" i="8" s="1"/>
  <c r="AB387" i="8"/>
  <c r="AG387" i="8"/>
  <c r="AL387" i="8"/>
  <c r="H388" i="8"/>
  <c r="M388" i="8"/>
  <c r="R388" i="8"/>
  <c r="W388" i="8"/>
  <c r="AB388" i="8"/>
  <c r="AB389" i="8" s="1"/>
  <c r="AG388" i="8"/>
  <c r="AL388" i="8"/>
  <c r="D389" i="8"/>
  <c r="E389" i="8"/>
  <c r="F389" i="8"/>
  <c r="G389" i="8"/>
  <c r="I389" i="8"/>
  <c r="J389" i="8"/>
  <c r="K389" i="8"/>
  <c r="L389" i="8"/>
  <c r="M389" i="8"/>
  <c r="N389" i="8"/>
  <c r="O389" i="8"/>
  <c r="P389" i="8"/>
  <c r="Q389" i="8"/>
  <c r="S389" i="8"/>
  <c r="T389" i="8"/>
  <c r="U389" i="8"/>
  <c r="V389" i="8"/>
  <c r="X389" i="8"/>
  <c r="Y389" i="8"/>
  <c r="Z389" i="8"/>
  <c r="AA389" i="8"/>
  <c r="AC389" i="8"/>
  <c r="AD389" i="8"/>
  <c r="AE389" i="8"/>
  <c r="AF389" i="8"/>
  <c r="AG389" i="8"/>
  <c r="AH389" i="8"/>
  <c r="AI389" i="8"/>
  <c r="AJ389" i="8"/>
  <c r="AK389" i="8"/>
  <c r="H390" i="8"/>
  <c r="M390" i="8"/>
  <c r="R390" i="8"/>
  <c r="W390" i="8"/>
  <c r="AB390" i="8"/>
  <c r="AG390" i="8"/>
  <c r="AL390" i="8"/>
  <c r="H391" i="8"/>
  <c r="H394" i="8" s="1"/>
  <c r="M391" i="8"/>
  <c r="R391" i="8"/>
  <c r="W391" i="8"/>
  <c r="W394" i="8" s="1"/>
  <c r="AB391" i="8"/>
  <c r="AB394" i="8" s="1"/>
  <c r="AB395" i="8" s="1"/>
  <c r="AG391" i="8"/>
  <c r="AL391" i="8"/>
  <c r="H392" i="8"/>
  <c r="M392" i="8"/>
  <c r="R392" i="8"/>
  <c r="W392" i="8"/>
  <c r="AB392" i="8"/>
  <c r="AG392" i="8"/>
  <c r="AL392" i="8"/>
  <c r="H393" i="8"/>
  <c r="M393" i="8"/>
  <c r="M394" i="8" s="1"/>
  <c r="M395" i="8" s="1"/>
  <c r="R393" i="8"/>
  <c r="W393" i="8"/>
  <c r="AB393" i="8"/>
  <c r="AG393" i="8"/>
  <c r="AG394" i="8" s="1"/>
  <c r="AG395" i="8" s="1"/>
  <c r="AL393" i="8"/>
  <c r="D394" i="8"/>
  <c r="E394" i="8"/>
  <c r="E395" i="8" s="1"/>
  <c r="F394" i="8"/>
  <c r="F395" i="8" s="1"/>
  <c r="G394" i="8"/>
  <c r="I394" i="8"/>
  <c r="I395" i="8" s="1"/>
  <c r="J394" i="8"/>
  <c r="J395" i="8" s="1"/>
  <c r="K394" i="8"/>
  <c r="L394" i="8"/>
  <c r="N394" i="8"/>
  <c r="N395" i="8" s="1"/>
  <c r="O394" i="8"/>
  <c r="P394" i="8"/>
  <c r="Q394" i="8"/>
  <c r="Q395" i="8" s="1"/>
  <c r="R394" i="8"/>
  <c r="R395" i="8" s="1"/>
  <c r="S394" i="8"/>
  <c r="T394" i="8"/>
  <c r="U394" i="8"/>
  <c r="U395" i="8" s="1"/>
  <c r="V394" i="8"/>
  <c r="V395" i="8" s="1"/>
  <c r="X394" i="8"/>
  <c r="Y394" i="8"/>
  <c r="Y395" i="8" s="1"/>
  <c r="Z394" i="8"/>
  <c r="Z395" i="8" s="1"/>
  <c r="AA394" i="8"/>
  <c r="AC394" i="8"/>
  <c r="AC395" i="8" s="1"/>
  <c r="AD394" i="8"/>
  <c r="AD395" i="8" s="1"/>
  <c r="AE394" i="8"/>
  <c r="AF394" i="8"/>
  <c r="AH394" i="8"/>
  <c r="AH395" i="8" s="1"/>
  <c r="AI394" i="8"/>
  <c r="AJ394" i="8"/>
  <c r="AK394" i="8"/>
  <c r="AK395" i="8" s="1"/>
  <c r="AL394" i="8"/>
  <c r="D395" i="8"/>
  <c r="G395" i="8"/>
  <c r="K395" i="8"/>
  <c r="L395" i="8"/>
  <c r="O395" i="8"/>
  <c r="P395" i="8"/>
  <c r="S395" i="8"/>
  <c r="T395" i="8"/>
  <c r="X395" i="8"/>
  <c r="AA395" i="8"/>
  <c r="AE395" i="8"/>
  <c r="AF395" i="8"/>
  <c r="AI395" i="8"/>
  <c r="AJ395" i="8"/>
  <c r="H396" i="8"/>
  <c r="M396" i="8"/>
  <c r="R396" i="8"/>
  <c r="W396" i="8"/>
  <c r="AB396" i="8"/>
  <c r="AG396" i="8"/>
  <c r="AL396" i="8"/>
  <c r="H397" i="8"/>
  <c r="M397" i="8"/>
  <c r="M400" i="8" s="1"/>
  <c r="R397" i="8"/>
  <c r="R400" i="8" s="1"/>
  <c r="W397" i="8"/>
  <c r="AB397" i="8"/>
  <c r="AG397" i="8"/>
  <c r="AG400" i="8" s="1"/>
  <c r="AL397" i="8"/>
  <c r="AL400" i="8" s="1"/>
  <c r="H398" i="8"/>
  <c r="M398" i="8"/>
  <c r="R398" i="8"/>
  <c r="W398" i="8"/>
  <c r="AB398" i="8"/>
  <c r="AG398" i="8"/>
  <c r="AL398" i="8"/>
  <c r="H399" i="8"/>
  <c r="M399" i="8"/>
  <c r="R399" i="8"/>
  <c r="W399" i="8"/>
  <c r="W400" i="8" s="1"/>
  <c r="AB399" i="8"/>
  <c r="AG399" i="8"/>
  <c r="AL399" i="8"/>
  <c r="D400" i="8"/>
  <c r="E400" i="8"/>
  <c r="F400" i="8"/>
  <c r="G400" i="8"/>
  <c r="H400" i="8"/>
  <c r="I400" i="8"/>
  <c r="J400" i="8"/>
  <c r="K400" i="8"/>
  <c r="L400" i="8"/>
  <c r="N400" i="8"/>
  <c r="O400" i="8"/>
  <c r="P400" i="8"/>
  <c r="Q400" i="8"/>
  <c r="S400" i="8"/>
  <c r="T400" i="8"/>
  <c r="U400" i="8"/>
  <c r="V400" i="8"/>
  <c r="X400" i="8"/>
  <c r="Y400" i="8"/>
  <c r="Z400" i="8"/>
  <c r="AA400" i="8"/>
  <c r="AB400" i="8"/>
  <c r="AC400" i="8"/>
  <c r="AD400" i="8"/>
  <c r="AE400" i="8"/>
  <c r="AF400" i="8"/>
  <c r="AH400" i="8"/>
  <c r="AI400" i="8"/>
  <c r="AJ400" i="8"/>
  <c r="AK400" i="8"/>
  <c r="H401" i="8"/>
  <c r="M401" i="8"/>
  <c r="R401" i="8"/>
  <c r="W401" i="8"/>
  <c r="AB401" i="8"/>
  <c r="AG401" i="8"/>
  <c r="AL401" i="8"/>
  <c r="H402" i="8"/>
  <c r="M402" i="8"/>
  <c r="R402" i="8"/>
  <c r="R405" i="8" s="1"/>
  <c r="W402" i="8"/>
  <c r="W405" i="8" s="1"/>
  <c r="AB402" i="8"/>
  <c r="AG402" i="8"/>
  <c r="AL402" i="8"/>
  <c r="AL405" i="8" s="1"/>
  <c r="H403" i="8"/>
  <c r="M403" i="8"/>
  <c r="R403" i="8"/>
  <c r="W403" i="8"/>
  <c r="AB403" i="8"/>
  <c r="AG403" i="8"/>
  <c r="AL403" i="8"/>
  <c r="H404" i="8"/>
  <c r="M404" i="8"/>
  <c r="R404" i="8"/>
  <c r="W404" i="8"/>
  <c r="AB404" i="8"/>
  <c r="AB405" i="8" s="1"/>
  <c r="AG404" i="8"/>
  <c r="AL404" i="8"/>
  <c r="D405" i="8"/>
  <c r="E405" i="8"/>
  <c r="F405" i="8"/>
  <c r="G405" i="8"/>
  <c r="I405" i="8"/>
  <c r="J405" i="8"/>
  <c r="K405" i="8"/>
  <c r="L405" i="8"/>
  <c r="M405" i="8"/>
  <c r="N405" i="8"/>
  <c r="O405" i="8"/>
  <c r="P405" i="8"/>
  <c r="Q405" i="8"/>
  <c r="S405" i="8"/>
  <c r="T405" i="8"/>
  <c r="U405" i="8"/>
  <c r="V405" i="8"/>
  <c r="X405" i="8"/>
  <c r="Y405" i="8"/>
  <c r="Z405" i="8"/>
  <c r="AA405" i="8"/>
  <c r="AC405" i="8"/>
  <c r="AD405" i="8"/>
  <c r="AE405" i="8"/>
  <c r="AF405" i="8"/>
  <c r="AG405" i="8"/>
  <c r="AH405" i="8"/>
  <c r="AI405" i="8"/>
  <c r="AJ405" i="8"/>
  <c r="AK405" i="8"/>
  <c r="H406" i="8"/>
  <c r="M406" i="8"/>
  <c r="R406" i="8"/>
  <c r="W406" i="8"/>
  <c r="AB406" i="8"/>
  <c r="AG406" i="8"/>
  <c r="AL406" i="8"/>
  <c r="H407" i="8"/>
  <c r="H410" i="8" s="1"/>
  <c r="M407" i="8"/>
  <c r="R407" i="8"/>
  <c r="W407" i="8"/>
  <c r="W410" i="8" s="1"/>
  <c r="AB407" i="8"/>
  <c r="AB410" i="8" s="1"/>
  <c r="AG407" i="8"/>
  <c r="AL407" i="8"/>
  <c r="H408" i="8"/>
  <c r="M408" i="8"/>
  <c r="R408" i="8"/>
  <c r="W408" i="8"/>
  <c r="AB408" i="8"/>
  <c r="AG408" i="8"/>
  <c r="AL408" i="8"/>
  <c r="H409" i="8"/>
  <c r="M409" i="8"/>
  <c r="M410" i="8" s="1"/>
  <c r="R409" i="8"/>
  <c r="W409" i="8"/>
  <c r="AB409" i="8"/>
  <c r="AG409" i="8"/>
  <c r="AG410" i="8" s="1"/>
  <c r="AL409" i="8"/>
  <c r="D410" i="8"/>
  <c r="E410" i="8"/>
  <c r="F410" i="8"/>
  <c r="G410" i="8"/>
  <c r="I410" i="8"/>
  <c r="J410" i="8"/>
  <c r="K410" i="8"/>
  <c r="L410" i="8"/>
  <c r="N410" i="8"/>
  <c r="O410" i="8"/>
  <c r="P410" i="8"/>
  <c r="Q410" i="8"/>
  <c r="R410" i="8"/>
  <c r="S410" i="8"/>
  <c r="T410" i="8"/>
  <c r="U410" i="8"/>
  <c r="V410" i="8"/>
  <c r="X410" i="8"/>
  <c r="Y410" i="8"/>
  <c r="Z410" i="8"/>
  <c r="AA410" i="8"/>
  <c r="AC410" i="8"/>
  <c r="AD410" i="8"/>
  <c r="AE410" i="8"/>
  <c r="AF410" i="8"/>
  <c r="AH410" i="8"/>
  <c r="AI410" i="8"/>
  <c r="AJ410" i="8"/>
  <c r="AK410" i="8"/>
  <c r="AL410" i="8"/>
  <c r="H411" i="8"/>
  <c r="M411" i="8"/>
  <c r="R411" i="8"/>
  <c r="W411" i="8"/>
  <c r="AB411" i="8"/>
  <c r="AG411" i="8"/>
  <c r="AL411" i="8"/>
  <c r="H412" i="8"/>
  <c r="M412" i="8"/>
  <c r="M415" i="8" s="1"/>
  <c r="M416" i="8" s="1"/>
  <c r="R412" i="8"/>
  <c r="W412" i="8"/>
  <c r="AB412" i="8"/>
  <c r="AB415" i="8" s="1"/>
  <c r="AG412" i="8"/>
  <c r="AG415" i="8" s="1"/>
  <c r="AG416" i="8" s="1"/>
  <c r="AL412" i="8"/>
  <c r="H413" i="8"/>
  <c r="M413" i="8"/>
  <c r="R413" i="8"/>
  <c r="W413" i="8"/>
  <c r="AB413" i="8"/>
  <c r="AG413" i="8"/>
  <c r="AL413" i="8"/>
  <c r="H414" i="8"/>
  <c r="M414" i="8"/>
  <c r="R414" i="8"/>
  <c r="R415" i="8" s="1"/>
  <c r="W414" i="8"/>
  <c r="AB414" i="8"/>
  <c r="AG414" i="8"/>
  <c r="AL414" i="8"/>
  <c r="AL415" i="8" s="1"/>
  <c r="D415" i="8"/>
  <c r="E415" i="8"/>
  <c r="F415" i="8"/>
  <c r="F416" i="8" s="1"/>
  <c r="G415" i="8"/>
  <c r="G416" i="8" s="1"/>
  <c r="I415" i="8"/>
  <c r="J415" i="8"/>
  <c r="J416" i="8" s="1"/>
  <c r="K415" i="8"/>
  <c r="K416" i="8" s="1"/>
  <c r="L415" i="8"/>
  <c r="N415" i="8"/>
  <c r="N416" i="8" s="1"/>
  <c r="O415" i="8"/>
  <c r="O416" i="8" s="1"/>
  <c r="P415" i="8"/>
  <c r="Q415" i="8"/>
  <c r="S415" i="8"/>
  <c r="S416" i="8" s="1"/>
  <c r="T415" i="8"/>
  <c r="U415" i="8"/>
  <c r="V415" i="8"/>
  <c r="V416" i="8" s="1"/>
  <c r="W415" i="8"/>
  <c r="X415" i="8"/>
  <c r="Y415" i="8"/>
  <c r="Z415" i="8"/>
  <c r="Z416" i="8" s="1"/>
  <c r="AA415" i="8"/>
  <c r="AA416" i="8" s="1"/>
  <c r="AC415" i="8"/>
  <c r="AD415" i="8"/>
  <c r="AD416" i="8" s="1"/>
  <c r="AE415" i="8"/>
  <c r="AE416" i="8" s="1"/>
  <c r="AF415" i="8"/>
  <c r="AH415" i="8"/>
  <c r="AH416" i="8" s="1"/>
  <c r="AI415" i="8"/>
  <c r="AI416" i="8" s="1"/>
  <c r="AJ415" i="8"/>
  <c r="AK415" i="8"/>
  <c r="D416" i="8"/>
  <c r="E416" i="8"/>
  <c r="I416" i="8"/>
  <c r="L416" i="8"/>
  <c r="P416" i="8"/>
  <c r="Q416" i="8"/>
  <c r="T416" i="8"/>
  <c r="U416" i="8"/>
  <c r="X416" i="8"/>
  <c r="Y416" i="8"/>
  <c r="AC416" i="8"/>
  <c r="AF416" i="8"/>
  <c r="AJ416" i="8"/>
  <c r="AK416" i="8"/>
  <c r="H417" i="8"/>
  <c r="M417" i="8"/>
  <c r="R417" i="8"/>
  <c r="W417" i="8"/>
  <c r="AB417" i="8"/>
  <c r="AG417" i="8"/>
  <c r="AL417" i="8"/>
  <c r="H418" i="8"/>
  <c r="M418" i="8"/>
  <c r="R418" i="8"/>
  <c r="R421" i="8" s="1"/>
  <c r="W418" i="8"/>
  <c r="W421" i="8" s="1"/>
  <c r="AB418" i="8"/>
  <c r="AG418" i="8"/>
  <c r="AL418" i="8"/>
  <c r="AL421" i="8" s="1"/>
  <c r="H419" i="8"/>
  <c r="M419" i="8"/>
  <c r="R419" i="8"/>
  <c r="W419" i="8"/>
  <c r="AB419" i="8"/>
  <c r="AG419" i="8"/>
  <c r="AL419" i="8"/>
  <c r="H420" i="8"/>
  <c r="M420" i="8"/>
  <c r="R420" i="8"/>
  <c r="W420" i="8"/>
  <c r="AB420" i="8"/>
  <c r="AB421" i="8" s="1"/>
  <c r="AG420" i="8"/>
  <c r="AL420" i="8"/>
  <c r="D421" i="8"/>
  <c r="E421" i="8"/>
  <c r="F421" i="8"/>
  <c r="G421" i="8"/>
  <c r="I421" i="8"/>
  <c r="J421" i="8"/>
  <c r="K421" i="8"/>
  <c r="L421" i="8"/>
  <c r="M421" i="8"/>
  <c r="N421" i="8"/>
  <c r="O421" i="8"/>
  <c r="P421" i="8"/>
  <c r="Q421" i="8"/>
  <c r="S421" i="8"/>
  <c r="T421" i="8"/>
  <c r="U421" i="8"/>
  <c r="V421" i="8"/>
  <c r="X421" i="8"/>
  <c r="Y421" i="8"/>
  <c r="Z421" i="8"/>
  <c r="AA421" i="8"/>
  <c r="AC421" i="8"/>
  <c r="AD421" i="8"/>
  <c r="AE421" i="8"/>
  <c r="AF421" i="8"/>
  <c r="AG421" i="8"/>
  <c r="AH421" i="8"/>
  <c r="AI421" i="8"/>
  <c r="AJ421" i="8"/>
  <c r="AK421" i="8"/>
  <c r="H422" i="8"/>
  <c r="M422" i="8"/>
  <c r="R422" i="8"/>
  <c r="W422" i="8"/>
  <c r="AB422" i="8"/>
  <c r="AG422" i="8"/>
  <c r="AG426" i="8" s="1"/>
  <c r="AL422" i="8"/>
  <c r="AL426" i="8" s="1"/>
  <c r="H423" i="8"/>
  <c r="H426" i="8" s="1"/>
  <c r="M423" i="8"/>
  <c r="R423" i="8"/>
  <c r="W423" i="8"/>
  <c r="W426" i="8" s="1"/>
  <c r="AB423" i="8"/>
  <c r="AG423" i="8"/>
  <c r="AL423" i="8"/>
  <c r="H424" i="8"/>
  <c r="M424" i="8"/>
  <c r="R424" i="8"/>
  <c r="W424" i="8"/>
  <c r="AB424" i="8"/>
  <c r="AB426" i="8" s="1"/>
  <c r="AG424" i="8"/>
  <c r="AL424" i="8"/>
  <c r="H425" i="8"/>
  <c r="M425" i="8"/>
  <c r="M426" i="8" s="1"/>
  <c r="R425" i="8"/>
  <c r="W425" i="8"/>
  <c r="AB425" i="8"/>
  <c r="AG425" i="8"/>
  <c r="AL425" i="8"/>
  <c r="D426" i="8"/>
  <c r="E426" i="8"/>
  <c r="F426" i="8"/>
  <c r="G426" i="8"/>
  <c r="I426" i="8"/>
  <c r="J426" i="8"/>
  <c r="K426" i="8"/>
  <c r="L426" i="8"/>
  <c r="N426" i="8"/>
  <c r="O426" i="8"/>
  <c r="P426" i="8"/>
  <c r="Q426" i="8"/>
  <c r="R426" i="8"/>
  <c r="S426" i="8"/>
  <c r="T426" i="8"/>
  <c r="U426" i="8"/>
  <c r="V426" i="8"/>
  <c r="X426" i="8"/>
  <c r="Y426" i="8"/>
  <c r="Z426" i="8"/>
  <c r="AA426" i="8"/>
  <c r="AC426" i="8"/>
  <c r="AD426" i="8"/>
  <c r="AE426" i="8"/>
  <c r="AF426" i="8"/>
  <c r="AH426" i="8"/>
  <c r="AI426" i="8"/>
  <c r="AJ426" i="8"/>
  <c r="AK426" i="8"/>
  <c r="H427" i="8"/>
  <c r="M427" i="8"/>
  <c r="R427" i="8"/>
  <c r="W427" i="8"/>
  <c r="AB427" i="8"/>
  <c r="AG427" i="8"/>
  <c r="AL427" i="8"/>
  <c r="H428" i="8"/>
  <c r="M428" i="8"/>
  <c r="M431" i="8" s="1"/>
  <c r="R428" i="8"/>
  <c r="R431" i="8" s="1"/>
  <c r="W428" i="8"/>
  <c r="AB428" i="8"/>
  <c r="AG428" i="8"/>
  <c r="AG431" i="8" s="1"/>
  <c r="AL428" i="8"/>
  <c r="AL431" i="8" s="1"/>
  <c r="H429" i="8"/>
  <c r="M429" i="8"/>
  <c r="R429" i="8"/>
  <c r="W429" i="8"/>
  <c r="AB429" i="8"/>
  <c r="AG429" i="8"/>
  <c r="AL429" i="8"/>
  <c r="H430" i="8"/>
  <c r="M430" i="8"/>
  <c r="R430" i="8"/>
  <c r="W430" i="8"/>
  <c r="W431" i="8" s="1"/>
  <c r="AB430" i="8"/>
  <c r="AG430" i="8"/>
  <c r="AL430" i="8"/>
  <c r="D431" i="8"/>
  <c r="E431" i="8"/>
  <c r="F431" i="8"/>
  <c r="G431" i="8"/>
  <c r="H431" i="8"/>
  <c r="I431" i="8"/>
  <c r="J431" i="8"/>
  <c r="K431" i="8"/>
  <c r="L431" i="8"/>
  <c r="N431" i="8"/>
  <c r="O431" i="8"/>
  <c r="P431" i="8"/>
  <c r="Q431" i="8"/>
  <c r="S431" i="8"/>
  <c r="T431" i="8"/>
  <c r="U431" i="8"/>
  <c r="V431" i="8"/>
  <c r="X431" i="8"/>
  <c r="Y431" i="8"/>
  <c r="Z431" i="8"/>
  <c r="AA431" i="8"/>
  <c r="AB431" i="8"/>
  <c r="AC431" i="8"/>
  <c r="AD431" i="8"/>
  <c r="AE431" i="8"/>
  <c r="AF431" i="8"/>
  <c r="AH431" i="8"/>
  <c r="AI431" i="8"/>
  <c r="AJ431" i="8"/>
  <c r="AK431" i="8"/>
  <c r="H432" i="8"/>
  <c r="M432" i="8"/>
  <c r="R432" i="8"/>
  <c r="W432" i="8"/>
  <c r="AB432" i="8"/>
  <c r="AG432" i="8"/>
  <c r="AL432" i="8"/>
  <c r="H433" i="8"/>
  <c r="M433" i="8"/>
  <c r="R433" i="8"/>
  <c r="R436" i="8" s="1"/>
  <c r="W433" i="8"/>
  <c r="W436" i="8" s="1"/>
  <c r="AB433" i="8"/>
  <c r="AG433" i="8"/>
  <c r="AL433" i="8"/>
  <c r="AL436" i="8" s="1"/>
  <c r="H434" i="8"/>
  <c r="M434" i="8"/>
  <c r="R434" i="8"/>
  <c r="W434" i="8"/>
  <c r="AB434" i="8"/>
  <c r="AG434" i="8"/>
  <c r="AL434" i="8"/>
  <c r="H435" i="8"/>
  <c r="M435" i="8"/>
  <c r="R435" i="8"/>
  <c r="W435" i="8"/>
  <c r="AB435" i="8"/>
  <c r="AB436" i="8" s="1"/>
  <c r="AG435" i="8"/>
  <c r="AL435" i="8"/>
  <c r="D436" i="8"/>
  <c r="E436" i="8"/>
  <c r="F436" i="8"/>
  <c r="G436" i="8"/>
  <c r="I436" i="8"/>
  <c r="J436" i="8"/>
  <c r="K436" i="8"/>
  <c r="L436" i="8"/>
  <c r="M436" i="8"/>
  <c r="N436" i="8"/>
  <c r="O436" i="8"/>
  <c r="P436" i="8"/>
  <c r="Q436" i="8"/>
  <c r="S436" i="8"/>
  <c r="T436" i="8"/>
  <c r="U436" i="8"/>
  <c r="V436" i="8"/>
  <c r="X436" i="8"/>
  <c r="Y436" i="8"/>
  <c r="Z436" i="8"/>
  <c r="AA436" i="8"/>
  <c r="AC436" i="8"/>
  <c r="AD436" i="8"/>
  <c r="AE436" i="8"/>
  <c r="AF436" i="8"/>
  <c r="AG436" i="8"/>
  <c r="AH436" i="8"/>
  <c r="AI436" i="8"/>
  <c r="AJ436" i="8"/>
  <c r="AK436" i="8"/>
  <c r="H437" i="8"/>
  <c r="M437" i="8"/>
  <c r="R437" i="8"/>
  <c r="W437" i="8"/>
  <c r="AB437" i="8"/>
  <c r="AG437" i="8"/>
  <c r="AL437" i="8"/>
  <c r="H438" i="8"/>
  <c r="H441" i="8" s="1"/>
  <c r="M438" i="8"/>
  <c r="R438" i="8"/>
  <c r="W438" i="8"/>
  <c r="W441" i="8" s="1"/>
  <c r="AB438" i="8"/>
  <c r="AB441" i="8" s="1"/>
  <c r="AG438" i="8"/>
  <c r="AL438" i="8"/>
  <c r="H439" i="8"/>
  <c r="M439" i="8"/>
  <c r="R439" i="8"/>
  <c r="W439" i="8"/>
  <c r="AB439" i="8"/>
  <c r="AG439" i="8"/>
  <c r="AL439" i="8"/>
  <c r="H440" i="8"/>
  <c r="M440" i="8"/>
  <c r="M441" i="8" s="1"/>
  <c r="R440" i="8"/>
  <c r="W440" i="8"/>
  <c r="AB440" i="8"/>
  <c r="AG440" i="8"/>
  <c r="AG441" i="8" s="1"/>
  <c r="AL440" i="8"/>
  <c r="D441" i="8"/>
  <c r="E441" i="8"/>
  <c r="F441" i="8"/>
  <c r="G441" i="8"/>
  <c r="I441" i="8"/>
  <c r="J441" i="8"/>
  <c r="K441" i="8"/>
  <c r="L441" i="8"/>
  <c r="N441" i="8"/>
  <c r="O441" i="8"/>
  <c r="P441" i="8"/>
  <c r="Q441" i="8"/>
  <c r="R441" i="8"/>
  <c r="S441" i="8"/>
  <c r="T441" i="8"/>
  <c r="U441" i="8"/>
  <c r="V441" i="8"/>
  <c r="X441" i="8"/>
  <c r="Y441" i="8"/>
  <c r="Z441" i="8"/>
  <c r="AA441" i="8"/>
  <c r="AC441" i="8"/>
  <c r="AD441" i="8"/>
  <c r="AE441" i="8"/>
  <c r="AF441" i="8"/>
  <c r="AH441" i="8"/>
  <c r="AI441" i="8"/>
  <c r="AJ441" i="8"/>
  <c r="AK441" i="8"/>
  <c r="AL441" i="8"/>
  <c r="H442" i="8"/>
  <c r="M442" i="8"/>
  <c r="R442" i="8"/>
  <c r="W442" i="8"/>
  <c r="AB442" i="8"/>
  <c r="AG442" i="8"/>
  <c r="AL442" i="8"/>
  <c r="H443" i="8"/>
  <c r="M443" i="8"/>
  <c r="M446" i="8" s="1"/>
  <c r="R443" i="8"/>
  <c r="W443" i="8"/>
  <c r="AB443" i="8"/>
  <c r="AB446" i="8" s="1"/>
  <c r="AG443" i="8"/>
  <c r="AG446" i="8" s="1"/>
  <c r="AL443" i="8"/>
  <c r="H444" i="8"/>
  <c r="M444" i="8"/>
  <c r="R444" i="8"/>
  <c r="W444" i="8"/>
  <c r="AB444" i="8"/>
  <c r="AG444" i="8"/>
  <c r="AL444" i="8"/>
  <c r="H445" i="8"/>
  <c r="M445" i="8"/>
  <c r="R445" i="8"/>
  <c r="R446" i="8" s="1"/>
  <c r="W445" i="8"/>
  <c r="AB445" i="8"/>
  <c r="AG445" i="8"/>
  <c r="AL445" i="8"/>
  <c r="AL446" i="8" s="1"/>
  <c r="D446" i="8"/>
  <c r="E446" i="8"/>
  <c r="F446" i="8"/>
  <c r="G446" i="8"/>
  <c r="I446" i="8"/>
  <c r="J446" i="8"/>
  <c r="K446" i="8"/>
  <c r="L446" i="8"/>
  <c r="N446" i="8"/>
  <c r="O446" i="8"/>
  <c r="P446" i="8"/>
  <c r="Q446" i="8"/>
  <c r="S446" i="8"/>
  <c r="T446" i="8"/>
  <c r="U446" i="8"/>
  <c r="V446" i="8"/>
  <c r="W446" i="8"/>
  <c r="X446" i="8"/>
  <c r="Y446" i="8"/>
  <c r="Z446" i="8"/>
  <c r="AA446" i="8"/>
  <c r="AC446" i="8"/>
  <c r="AD446" i="8"/>
  <c r="AE446" i="8"/>
  <c r="AF446" i="8"/>
  <c r="AH446" i="8"/>
  <c r="AI446" i="8"/>
  <c r="AJ446" i="8"/>
  <c r="AK446" i="8"/>
  <c r="G5" i="7"/>
  <c r="G9" i="7" s="1"/>
  <c r="K5" i="7"/>
  <c r="O5" i="7"/>
  <c r="S5" i="7"/>
  <c r="S9" i="7" s="1"/>
  <c r="W5" i="7"/>
  <c r="W9" i="7" s="1"/>
  <c r="AA5" i="7"/>
  <c r="AA9" i="7" s="1"/>
  <c r="AE5" i="7"/>
  <c r="G6" i="7"/>
  <c r="K6" i="7"/>
  <c r="K9" i="7" s="1"/>
  <c r="O6" i="7"/>
  <c r="S6" i="7"/>
  <c r="W6" i="7"/>
  <c r="AA6" i="7"/>
  <c r="AE6" i="7"/>
  <c r="G7" i="7"/>
  <c r="K7" i="7"/>
  <c r="O7" i="7"/>
  <c r="S7" i="7"/>
  <c r="W7" i="7"/>
  <c r="AA7" i="7"/>
  <c r="AE7" i="7"/>
  <c r="G8" i="7"/>
  <c r="K8" i="7"/>
  <c r="O8" i="7"/>
  <c r="S8" i="7"/>
  <c r="W8" i="7"/>
  <c r="AA8" i="7"/>
  <c r="AE8" i="7"/>
  <c r="D9" i="7"/>
  <c r="E9" i="7"/>
  <c r="F9" i="7"/>
  <c r="H9" i="7"/>
  <c r="I9" i="7"/>
  <c r="J9" i="7"/>
  <c r="L9" i="7"/>
  <c r="M9" i="7"/>
  <c r="N9" i="7"/>
  <c r="P9" i="7"/>
  <c r="Q9" i="7"/>
  <c r="R9" i="7"/>
  <c r="T9" i="7"/>
  <c r="U9" i="7"/>
  <c r="V9" i="7"/>
  <c r="X9" i="7"/>
  <c r="Y9" i="7"/>
  <c r="Z9" i="7"/>
  <c r="AB9" i="7"/>
  <c r="AC9" i="7"/>
  <c r="AD9" i="7"/>
  <c r="G10" i="7"/>
  <c r="K10" i="7"/>
  <c r="O10" i="7"/>
  <c r="S10" i="7"/>
  <c r="W10" i="7"/>
  <c r="AA10" i="7"/>
  <c r="AE10" i="7"/>
  <c r="AE14" i="7" s="1"/>
  <c r="G11" i="7"/>
  <c r="K11" i="7"/>
  <c r="O11" i="7"/>
  <c r="S11" i="7"/>
  <c r="W11" i="7"/>
  <c r="AA11" i="7"/>
  <c r="AE11" i="7"/>
  <c r="G12" i="7"/>
  <c r="G14" i="7" s="1"/>
  <c r="K12" i="7"/>
  <c r="O12" i="7"/>
  <c r="S12" i="7"/>
  <c r="W12" i="7"/>
  <c r="AA12" i="7"/>
  <c r="AE12" i="7"/>
  <c r="G13" i="7"/>
  <c r="K13" i="7"/>
  <c r="O13" i="7"/>
  <c r="S13" i="7"/>
  <c r="W13" i="7"/>
  <c r="AA13" i="7"/>
  <c r="AE13" i="7"/>
  <c r="D14" i="7"/>
  <c r="E14" i="7"/>
  <c r="F14" i="7"/>
  <c r="H14" i="7"/>
  <c r="I14" i="7"/>
  <c r="J14" i="7"/>
  <c r="L14" i="7"/>
  <c r="M14" i="7"/>
  <c r="N14" i="7"/>
  <c r="O14" i="7"/>
  <c r="P14" i="7"/>
  <c r="Q14" i="7"/>
  <c r="R14" i="7"/>
  <c r="S14" i="7"/>
  <c r="T14" i="7"/>
  <c r="U14" i="7"/>
  <c r="V14" i="7"/>
  <c r="W14" i="7"/>
  <c r="X14" i="7"/>
  <c r="Y14" i="7"/>
  <c r="Z14" i="7"/>
  <c r="AB14" i="7"/>
  <c r="AC14" i="7"/>
  <c r="AD14" i="7"/>
  <c r="G15" i="7"/>
  <c r="K15" i="7"/>
  <c r="K19" i="7" s="1"/>
  <c r="O15" i="7"/>
  <c r="S15" i="7"/>
  <c r="S19" i="7" s="1"/>
  <c r="W15" i="7"/>
  <c r="AA15" i="7"/>
  <c r="AE15" i="7"/>
  <c r="G16" i="7"/>
  <c r="K16" i="7"/>
  <c r="O16" i="7"/>
  <c r="O19" i="7" s="1"/>
  <c r="S16" i="7"/>
  <c r="W16" i="7"/>
  <c r="AA16" i="7"/>
  <c r="AA19" i="7" s="1"/>
  <c r="AE16" i="7"/>
  <c r="G17" i="7"/>
  <c r="K17" i="7"/>
  <c r="O17" i="7"/>
  <c r="S17" i="7"/>
  <c r="W17" i="7"/>
  <c r="AA17" i="7"/>
  <c r="AE17" i="7"/>
  <c r="AE19" i="7" s="1"/>
  <c r="G18" i="7"/>
  <c r="K18" i="7"/>
  <c r="O18" i="7"/>
  <c r="S18" i="7"/>
  <c r="W18" i="7"/>
  <c r="AA18" i="7"/>
  <c r="AE18" i="7"/>
  <c r="D19" i="7"/>
  <c r="E19" i="7"/>
  <c r="F19" i="7"/>
  <c r="H19" i="7"/>
  <c r="I19" i="7"/>
  <c r="J19" i="7"/>
  <c r="L19" i="7"/>
  <c r="M19" i="7"/>
  <c r="N19" i="7"/>
  <c r="P19" i="7"/>
  <c r="Q19" i="7"/>
  <c r="R19" i="7"/>
  <c r="T19" i="7"/>
  <c r="U19" i="7"/>
  <c r="V19" i="7"/>
  <c r="X19" i="7"/>
  <c r="Y19" i="7"/>
  <c r="Z19" i="7"/>
  <c r="AB19" i="7"/>
  <c r="AC19" i="7"/>
  <c r="AD19" i="7"/>
  <c r="G20" i="7"/>
  <c r="K20" i="7"/>
  <c r="O20" i="7"/>
  <c r="AF20" i="7" s="1"/>
  <c r="S20" i="7"/>
  <c r="W20" i="7"/>
  <c r="AA20" i="7"/>
  <c r="AE20" i="7"/>
  <c r="AE24" i="7" s="1"/>
  <c r="G21" i="7"/>
  <c r="K21" i="7"/>
  <c r="O21" i="7"/>
  <c r="AF21" i="7" s="1"/>
  <c r="S21" i="7"/>
  <c r="W21" i="7"/>
  <c r="AA21" i="7"/>
  <c r="AE21" i="7"/>
  <c r="G22" i="7"/>
  <c r="K22" i="7"/>
  <c r="O22" i="7"/>
  <c r="AF22" i="7" s="1"/>
  <c r="S22" i="7"/>
  <c r="W22" i="7"/>
  <c r="AA22" i="7"/>
  <c r="AE22" i="7"/>
  <c r="G23" i="7"/>
  <c r="K23" i="7"/>
  <c r="O23" i="7"/>
  <c r="AF23" i="7" s="1"/>
  <c r="S23" i="7"/>
  <c r="W23" i="7"/>
  <c r="AA23" i="7"/>
  <c r="AE23" i="7"/>
  <c r="D24" i="7"/>
  <c r="E24" i="7"/>
  <c r="F24" i="7"/>
  <c r="G24" i="7"/>
  <c r="H24" i="7"/>
  <c r="I24" i="7"/>
  <c r="J24" i="7"/>
  <c r="K24" i="7"/>
  <c r="L24" i="7"/>
  <c r="M24" i="7"/>
  <c r="N24" i="7"/>
  <c r="P24" i="7"/>
  <c r="Q24" i="7"/>
  <c r="R24" i="7"/>
  <c r="S24" i="7"/>
  <c r="T24" i="7"/>
  <c r="U24" i="7"/>
  <c r="V24" i="7"/>
  <c r="W24" i="7"/>
  <c r="X24" i="7"/>
  <c r="Y24" i="7"/>
  <c r="Z24" i="7"/>
  <c r="AA24" i="7"/>
  <c r="AB24" i="7"/>
  <c r="AC24" i="7"/>
  <c r="AD24" i="7"/>
  <c r="G25" i="7"/>
  <c r="K25" i="7"/>
  <c r="O25" i="7"/>
  <c r="S25" i="7"/>
  <c r="S29" i="7" s="1"/>
  <c r="W25" i="7"/>
  <c r="AA25" i="7"/>
  <c r="AE25" i="7"/>
  <c r="G26" i="7"/>
  <c r="K26" i="7"/>
  <c r="O26" i="7"/>
  <c r="S26" i="7"/>
  <c r="W26" i="7"/>
  <c r="AA26" i="7"/>
  <c r="AE26" i="7"/>
  <c r="G27" i="7"/>
  <c r="K27" i="7"/>
  <c r="O27" i="7"/>
  <c r="S27" i="7"/>
  <c r="W27" i="7"/>
  <c r="AA27" i="7"/>
  <c r="AE27" i="7"/>
  <c r="G28" i="7"/>
  <c r="K28" i="7"/>
  <c r="O28" i="7"/>
  <c r="S28" i="7"/>
  <c r="W28" i="7"/>
  <c r="AA28" i="7"/>
  <c r="AE28" i="7"/>
  <c r="D29" i="7"/>
  <c r="E29" i="7"/>
  <c r="F29" i="7"/>
  <c r="H29" i="7"/>
  <c r="I29" i="7"/>
  <c r="J29" i="7"/>
  <c r="L29" i="7"/>
  <c r="M29" i="7"/>
  <c r="N29" i="7"/>
  <c r="P29" i="7"/>
  <c r="Q29" i="7"/>
  <c r="R29" i="7"/>
  <c r="T29" i="7"/>
  <c r="U29" i="7"/>
  <c r="V29" i="7"/>
  <c r="X29" i="7"/>
  <c r="Y29" i="7"/>
  <c r="Z29" i="7"/>
  <c r="AB29" i="7"/>
  <c r="AC29" i="7"/>
  <c r="AD29" i="7"/>
  <c r="G30" i="7"/>
  <c r="G34" i="7" s="1"/>
  <c r="K30" i="7"/>
  <c r="O30" i="7"/>
  <c r="S30" i="7"/>
  <c r="S34" i="7" s="1"/>
  <c r="W30" i="7"/>
  <c r="W34" i="7" s="1"/>
  <c r="AA30" i="7"/>
  <c r="AE30" i="7"/>
  <c r="G31" i="7"/>
  <c r="K31" i="7"/>
  <c r="O31" i="7"/>
  <c r="O34" i="7" s="1"/>
  <c r="S31" i="7"/>
  <c r="W31" i="7"/>
  <c r="AA31" i="7"/>
  <c r="AE31" i="7"/>
  <c r="G32" i="7"/>
  <c r="K32" i="7"/>
  <c r="O32" i="7"/>
  <c r="S32" i="7"/>
  <c r="W32" i="7"/>
  <c r="AA32" i="7"/>
  <c r="AE32" i="7"/>
  <c r="AE34" i="7" s="1"/>
  <c r="G33" i="7"/>
  <c r="K33" i="7"/>
  <c r="O33" i="7"/>
  <c r="S33" i="7"/>
  <c r="W33" i="7"/>
  <c r="AA33" i="7"/>
  <c r="AE33" i="7"/>
  <c r="D34" i="7"/>
  <c r="E34" i="7"/>
  <c r="F34" i="7"/>
  <c r="H34" i="7"/>
  <c r="I34" i="7"/>
  <c r="I40" i="7" s="1"/>
  <c r="J34" i="7"/>
  <c r="L34" i="7"/>
  <c r="M34" i="7"/>
  <c r="M40" i="7" s="1"/>
  <c r="N34" i="7"/>
  <c r="P34" i="7"/>
  <c r="Q34" i="7"/>
  <c r="Q40" i="7" s="1"/>
  <c r="R34" i="7"/>
  <c r="T34" i="7"/>
  <c r="U34" i="7"/>
  <c r="U40" i="7" s="1"/>
  <c r="V34" i="7"/>
  <c r="X34" i="7"/>
  <c r="Y34" i="7"/>
  <c r="Y40" i="7" s="1"/>
  <c r="Z34" i="7"/>
  <c r="AB34" i="7"/>
  <c r="AC34" i="7"/>
  <c r="AD34" i="7"/>
  <c r="G35" i="7"/>
  <c r="K35" i="7"/>
  <c r="O35" i="7"/>
  <c r="S35" i="7"/>
  <c r="W35" i="7"/>
  <c r="AA35" i="7"/>
  <c r="AE35" i="7"/>
  <c r="AE39" i="7" s="1"/>
  <c r="G36" i="7"/>
  <c r="K36" i="7"/>
  <c r="O36" i="7"/>
  <c r="S36" i="7"/>
  <c r="W36" i="7"/>
  <c r="AA36" i="7"/>
  <c r="AE36" i="7"/>
  <c r="G37" i="7"/>
  <c r="K37" i="7"/>
  <c r="O37" i="7"/>
  <c r="S37" i="7"/>
  <c r="W37" i="7"/>
  <c r="AA37" i="7"/>
  <c r="AA39" i="7" s="1"/>
  <c r="AE37" i="7"/>
  <c r="G38" i="7"/>
  <c r="K38" i="7"/>
  <c r="O38" i="7"/>
  <c r="S38" i="7"/>
  <c r="W38" i="7"/>
  <c r="AA38" i="7"/>
  <c r="AE38" i="7"/>
  <c r="D39" i="7"/>
  <c r="E39" i="7"/>
  <c r="F39" i="7"/>
  <c r="H39" i="7"/>
  <c r="I39" i="7"/>
  <c r="J39" i="7"/>
  <c r="K39" i="7"/>
  <c r="L39" i="7"/>
  <c r="L40" i="7" s="1"/>
  <c r="M39" i="7"/>
  <c r="N39" i="7"/>
  <c r="N40" i="7" s="1"/>
  <c r="O39" i="7"/>
  <c r="O40" i="7" s="1"/>
  <c r="P39" i="7"/>
  <c r="P40" i="7" s="1"/>
  <c r="Q39" i="7"/>
  <c r="R39" i="7"/>
  <c r="S39" i="7"/>
  <c r="S40" i="7" s="1"/>
  <c r="T39" i="7"/>
  <c r="T40" i="7" s="1"/>
  <c r="U39" i="7"/>
  <c r="V39" i="7"/>
  <c r="V40" i="7" s="1"/>
  <c r="X39" i="7"/>
  <c r="X40" i="7" s="1"/>
  <c r="Y39" i="7"/>
  <c r="Z39" i="7"/>
  <c r="AB39" i="7"/>
  <c r="AB40" i="7" s="1"/>
  <c r="AC39" i="7"/>
  <c r="AD39" i="7"/>
  <c r="F40" i="7"/>
  <c r="J40" i="7"/>
  <c r="R40" i="7"/>
  <c r="Z40" i="7"/>
  <c r="AD40" i="7"/>
  <c r="G41" i="7"/>
  <c r="K41" i="7"/>
  <c r="O41" i="7"/>
  <c r="S41" i="7"/>
  <c r="W41" i="7"/>
  <c r="AA41" i="7"/>
  <c r="AE41" i="7"/>
  <c r="G42" i="7"/>
  <c r="K42" i="7"/>
  <c r="O42" i="7"/>
  <c r="S42" i="7"/>
  <c r="W42" i="7"/>
  <c r="AA42" i="7"/>
  <c r="AE42" i="7"/>
  <c r="G43" i="7"/>
  <c r="K43" i="7"/>
  <c r="O43" i="7"/>
  <c r="S43" i="7"/>
  <c r="W43" i="7"/>
  <c r="AA43" i="7"/>
  <c r="AE43" i="7"/>
  <c r="G44" i="7"/>
  <c r="K44" i="7"/>
  <c r="O44" i="7"/>
  <c r="S44" i="7"/>
  <c r="W44" i="7"/>
  <c r="AA44" i="7"/>
  <c r="AE44" i="7"/>
  <c r="D45" i="7"/>
  <c r="E45" i="7"/>
  <c r="F45" i="7"/>
  <c r="F51" i="7" s="1"/>
  <c r="H45" i="7"/>
  <c r="I45" i="7"/>
  <c r="J45" i="7"/>
  <c r="J51" i="7" s="1"/>
  <c r="L45" i="7"/>
  <c r="L51" i="7" s="1"/>
  <c r="M45" i="7"/>
  <c r="N45" i="7"/>
  <c r="P45" i="7"/>
  <c r="Q45" i="7"/>
  <c r="R45" i="7"/>
  <c r="T45" i="7"/>
  <c r="U45" i="7"/>
  <c r="V45" i="7"/>
  <c r="X45" i="7"/>
  <c r="Y45" i="7"/>
  <c r="Z45" i="7"/>
  <c r="AB45" i="7"/>
  <c r="AB51" i="7" s="1"/>
  <c r="AC45" i="7"/>
  <c r="AD45" i="7"/>
  <c r="G46" i="7"/>
  <c r="K46" i="7"/>
  <c r="O46" i="7"/>
  <c r="S46" i="7"/>
  <c r="W46" i="7"/>
  <c r="AA46" i="7"/>
  <c r="AE46" i="7"/>
  <c r="G47" i="7"/>
  <c r="K47" i="7"/>
  <c r="O47" i="7"/>
  <c r="O50" i="7" s="1"/>
  <c r="S47" i="7"/>
  <c r="W47" i="7"/>
  <c r="AA47" i="7"/>
  <c r="AE47" i="7"/>
  <c r="G48" i="7"/>
  <c r="K48" i="7"/>
  <c r="O48" i="7"/>
  <c r="S48" i="7"/>
  <c r="W48" i="7"/>
  <c r="AA48" i="7"/>
  <c r="AE48" i="7"/>
  <c r="G49" i="7"/>
  <c r="K49" i="7"/>
  <c r="O49" i="7"/>
  <c r="S49" i="7"/>
  <c r="W49" i="7"/>
  <c r="AA49" i="7"/>
  <c r="AE49" i="7"/>
  <c r="D50" i="7"/>
  <c r="D51" i="7" s="1"/>
  <c r="E50" i="7"/>
  <c r="F50" i="7"/>
  <c r="H50" i="7"/>
  <c r="H51" i="7" s="1"/>
  <c r="I50" i="7"/>
  <c r="J50" i="7"/>
  <c r="L50" i="7"/>
  <c r="M50" i="7"/>
  <c r="N50" i="7"/>
  <c r="P50" i="7"/>
  <c r="Q50" i="7"/>
  <c r="R50" i="7"/>
  <c r="T50" i="7"/>
  <c r="U50" i="7"/>
  <c r="V50" i="7"/>
  <c r="X50" i="7"/>
  <c r="Y50" i="7"/>
  <c r="Z50" i="7"/>
  <c r="AB50" i="7"/>
  <c r="AC50" i="7"/>
  <c r="AD50" i="7"/>
  <c r="AE50" i="7"/>
  <c r="P51" i="7"/>
  <c r="T51" i="7"/>
  <c r="X51" i="7"/>
  <c r="G52" i="7"/>
  <c r="K52" i="7"/>
  <c r="AF52" i="7" s="1"/>
  <c r="O52" i="7"/>
  <c r="S52" i="7"/>
  <c r="W52" i="7"/>
  <c r="AA52" i="7"/>
  <c r="AA56" i="7" s="1"/>
  <c r="AE52" i="7"/>
  <c r="G53" i="7"/>
  <c r="K53" i="7"/>
  <c r="AF53" i="7" s="1"/>
  <c r="O53" i="7"/>
  <c r="S53" i="7"/>
  <c r="W53" i="7"/>
  <c r="AA53" i="7"/>
  <c r="AE53" i="7"/>
  <c r="G54" i="7"/>
  <c r="K54" i="7"/>
  <c r="AF54" i="7" s="1"/>
  <c r="O54" i="7"/>
  <c r="S54" i="7"/>
  <c r="W54" i="7"/>
  <c r="AA54" i="7"/>
  <c r="AE54" i="7"/>
  <c r="G55" i="7"/>
  <c r="K55" i="7"/>
  <c r="AF55" i="7" s="1"/>
  <c r="O55" i="7"/>
  <c r="S55" i="7"/>
  <c r="W55" i="7"/>
  <c r="AA55" i="7"/>
  <c r="AE55" i="7"/>
  <c r="D56" i="7"/>
  <c r="E56" i="7"/>
  <c r="F56" i="7"/>
  <c r="G56" i="7"/>
  <c r="H56" i="7"/>
  <c r="I56" i="7"/>
  <c r="J56" i="7"/>
  <c r="L56" i="7"/>
  <c r="M56" i="7"/>
  <c r="N56" i="7"/>
  <c r="O56" i="7"/>
  <c r="P56" i="7"/>
  <c r="Q56" i="7"/>
  <c r="R56" i="7"/>
  <c r="S56" i="7"/>
  <c r="T56" i="7"/>
  <c r="U56" i="7"/>
  <c r="V56" i="7"/>
  <c r="W56" i="7"/>
  <c r="X56" i="7"/>
  <c r="Y56" i="7"/>
  <c r="Z56" i="7"/>
  <c r="AB56" i="7"/>
  <c r="AC56" i="7"/>
  <c r="AD56" i="7"/>
  <c r="AE56" i="7"/>
  <c r="G57" i="7"/>
  <c r="K57" i="7"/>
  <c r="K61" i="7" s="1"/>
  <c r="O57" i="7"/>
  <c r="S57" i="7"/>
  <c r="W57" i="7"/>
  <c r="AA57" i="7"/>
  <c r="AA61" i="7" s="1"/>
  <c r="AE57" i="7"/>
  <c r="G58" i="7"/>
  <c r="K58" i="7"/>
  <c r="O58" i="7"/>
  <c r="S58" i="7"/>
  <c r="W58" i="7"/>
  <c r="AA58" i="7"/>
  <c r="AE58" i="7"/>
  <c r="G59" i="7"/>
  <c r="K59" i="7"/>
  <c r="O59" i="7"/>
  <c r="S59" i="7"/>
  <c r="S61" i="7" s="1"/>
  <c r="W59" i="7"/>
  <c r="AA59" i="7"/>
  <c r="AE59" i="7"/>
  <c r="G60" i="7"/>
  <c r="K60" i="7"/>
  <c r="O60" i="7"/>
  <c r="S60" i="7"/>
  <c r="W60" i="7"/>
  <c r="AA60" i="7"/>
  <c r="AE60" i="7"/>
  <c r="D61" i="7"/>
  <c r="E61" i="7"/>
  <c r="F61" i="7"/>
  <c r="H61" i="7"/>
  <c r="I61" i="7"/>
  <c r="J61" i="7"/>
  <c r="L61" i="7"/>
  <c r="M61" i="7"/>
  <c r="N61" i="7"/>
  <c r="P61" i="7"/>
  <c r="Q61" i="7"/>
  <c r="R61" i="7"/>
  <c r="T61" i="7"/>
  <c r="U61" i="7"/>
  <c r="V61" i="7"/>
  <c r="X61" i="7"/>
  <c r="Y61" i="7"/>
  <c r="Z61" i="7"/>
  <c r="AB61" i="7"/>
  <c r="AC61" i="7"/>
  <c r="AD61" i="7"/>
  <c r="G62" i="7"/>
  <c r="K62" i="7"/>
  <c r="O62" i="7"/>
  <c r="S62" i="7"/>
  <c r="S66" i="7" s="1"/>
  <c r="W62" i="7"/>
  <c r="AA62" i="7"/>
  <c r="AE62" i="7"/>
  <c r="G63" i="7"/>
  <c r="K63" i="7"/>
  <c r="O63" i="7"/>
  <c r="S63" i="7"/>
  <c r="W63" i="7"/>
  <c r="W66" i="7" s="1"/>
  <c r="AA63" i="7"/>
  <c r="AE63" i="7"/>
  <c r="G64" i="7"/>
  <c r="K64" i="7"/>
  <c r="O64" i="7"/>
  <c r="S64" i="7"/>
  <c r="W64" i="7"/>
  <c r="AA64" i="7"/>
  <c r="AE64" i="7"/>
  <c r="G65" i="7"/>
  <c r="K65" i="7"/>
  <c r="O65" i="7"/>
  <c r="O66" i="7" s="1"/>
  <c r="S65" i="7"/>
  <c r="W65" i="7"/>
  <c r="AA65" i="7"/>
  <c r="AE65" i="7"/>
  <c r="AE66" i="7" s="1"/>
  <c r="D66" i="7"/>
  <c r="E66" i="7"/>
  <c r="F66" i="7"/>
  <c r="G66" i="7"/>
  <c r="H66" i="7"/>
  <c r="I66" i="7"/>
  <c r="J66" i="7"/>
  <c r="L66" i="7"/>
  <c r="M66" i="7"/>
  <c r="N66" i="7"/>
  <c r="P66" i="7"/>
  <c r="Q66" i="7"/>
  <c r="R66" i="7"/>
  <c r="T66" i="7"/>
  <c r="U66" i="7"/>
  <c r="V66" i="7"/>
  <c r="X66" i="7"/>
  <c r="Y66" i="7"/>
  <c r="Z66" i="7"/>
  <c r="AB66" i="7"/>
  <c r="AC66" i="7"/>
  <c r="AD66" i="7"/>
  <c r="G67" i="7"/>
  <c r="K67" i="7"/>
  <c r="K71" i="7" s="1"/>
  <c r="O67" i="7"/>
  <c r="S67" i="7"/>
  <c r="S71" i="7" s="1"/>
  <c r="W67" i="7"/>
  <c r="AA67" i="7"/>
  <c r="AE67" i="7"/>
  <c r="G68" i="7"/>
  <c r="K68" i="7"/>
  <c r="O68" i="7"/>
  <c r="O71" i="7" s="1"/>
  <c r="S68" i="7"/>
  <c r="W68" i="7"/>
  <c r="AA68" i="7"/>
  <c r="AE68" i="7"/>
  <c r="G69" i="7"/>
  <c r="K69" i="7"/>
  <c r="O69" i="7"/>
  <c r="S69" i="7"/>
  <c r="W69" i="7"/>
  <c r="AA69" i="7"/>
  <c r="AE69" i="7"/>
  <c r="G70" i="7"/>
  <c r="K70" i="7"/>
  <c r="O70" i="7"/>
  <c r="S70" i="7"/>
  <c r="W70" i="7"/>
  <c r="AA70" i="7"/>
  <c r="AE70" i="7"/>
  <c r="D71" i="7"/>
  <c r="E71" i="7"/>
  <c r="F71" i="7"/>
  <c r="H71" i="7"/>
  <c r="I71" i="7"/>
  <c r="J71" i="7"/>
  <c r="L71" i="7"/>
  <c r="M71" i="7"/>
  <c r="N71" i="7"/>
  <c r="P71" i="7"/>
  <c r="Q71" i="7"/>
  <c r="R71" i="7"/>
  <c r="T71" i="7"/>
  <c r="U71" i="7"/>
  <c r="V71" i="7"/>
  <c r="X71" i="7"/>
  <c r="Y71" i="7"/>
  <c r="Z71" i="7"/>
  <c r="AA71" i="7"/>
  <c r="AB71" i="7"/>
  <c r="AC71" i="7"/>
  <c r="AD71" i="7"/>
  <c r="AE71" i="7"/>
  <c r="G72" i="7"/>
  <c r="K72" i="7"/>
  <c r="O72" i="7"/>
  <c r="S72" i="7"/>
  <c r="W72" i="7"/>
  <c r="AA72" i="7"/>
  <c r="AE72" i="7"/>
  <c r="AF72" i="7"/>
  <c r="G73" i="7"/>
  <c r="K73" i="7"/>
  <c r="O73" i="7"/>
  <c r="S73" i="7"/>
  <c r="W73" i="7"/>
  <c r="AA73" i="7"/>
  <c r="AE73" i="7"/>
  <c r="AF73" i="7"/>
  <c r="G74" i="7"/>
  <c r="K74" i="7"/>
  <c r="O74" i="7"/>
  <c r="S74" i="7"/>
  <c r="W74" i="7"/>
  <c r="AA74" i="7"/>
  <c r="AE74" i="7"/>
  <c r="AF74" i="7"/>
  <c r="G75" i="7"/>
  <c r="K75" i="7"/>
  <c r="O75" i="7"/>
  <c r="S75" i="7"/>
  <c r="W75" i="7"/>
  <c r="AA75" i="7"/>
  <c r="AE75" i="7"/>
  <c r="AF75" i="7"/>
  <c r="D76" i="7"/>
  <c r="E76" i="7"/>
  <c r="F76" i="7"/>
  <c r="G76" i="7"/>
  <c r="H76" i="7"/>
  <c r="I76" i="7"/>
  <c r="J76" i="7"/>
  <c r="K76" i="7"/>
  <c r="L76" i="7"/>
  <c r="M76" i="7"/>
  <c r="N76" i="7"/>
  <c r="O76" i="7"/>
  <c r="P76" i="7"/>
  <c r="Q76" i="7"/>
  <c r="R76" i="7"/>
  <c r="S76" i="7"/>
  <c r="T76" i="7"/>
  <c r="U76" i="7"/>
  <c r="V76" i="7"/>
  <c r="W76" i="7"/>
  <c r="X76" i="7"/>
  <c r="Y76" i="7"/>
  <c r="Z76" i="7"/>
  <c r="AA76" i="7"/>
  <c r="AB76" i="7"/>
  <c r="AC76" i="7"/>
  <c r="AD76" i="7"/>
  <c r="AE76" i="7"/>
  <c r="G77" i="7"/>
  <c r="K77" i="7"/>
  <c r="O77" i="7"/>
  <c r="S77" i="7"/>
  <c r="S81" i="7" s="1"/>
  <c r="W77" i="7"/>
  <c r="AA77" i="7"/>
  <c r="AE77" i="7"/>
  <c r="G78" i="7"/>
  <c r="K78" i="7"/>
  <c r="O78" i="7"/>
  <c r="S78" i="7"/>
  <c r="W78" i="7"/>
  <c r="AA78" i="7"/>
  <c r="AE78" i="7"/>
  <c r="G79" i="7"/>
  <c r="K79" i="7"/>
  <c r="O79" i="7"/>
  <c r="S79" i="7"/>
  <c r="W79" i="7"/>
  <c r="AA79" i="7"/>
  <c r="AE79" i="7"/>
  <c r="G80" i="7"/>
  <c r="K80" i="7"/>
  <c r="O80" i="7"/>
  <c r="S80" i="7"/>
  <c r="W80" i="7"/>
  <c r="AA80" i="7"/>
  <c r="AE80" i="7"/>
  <c r="D81" i="7"/>
  <c r="E81" i="7"/>
  <c r="F81" i="7"/>
  <c r="H81" i="7"/>
  <c r="I81" i="7"/>
  <c r="J81" i="7"/>
  <c r="L81" i="7"/>
  <c r="M81" i="7"/>
  <c r="N81" i="7"/>
  <c r="P81" i="7"/>
  <c r="Q81" i="7"/>
  <c r="R81" i="7"/>
  <c r="T81" i="7"/>
  <c r="U81" i="7"/>
  <c r="V81" i="7"/>
  <c r="X81" i="7"/>
  <c r="Y81" i="7"/>
  <c r="Z81" i="7"/>
  <c r="AB81" i="7"/>
  <c r="AC81" i="7"/>
  <c r="AD81" i="7"/>
  <c r="G82" i="7"/>
  <c r="G86" i="7" s="1"/>
  <c r="K82" i="7"/>
  <c r="O82" i="7"/>
  <c r="S82" i="7"/>
  <c r="W82" i="7"/>
  <c r="W86" i="7" s="1"/>
  <c r="AA82" i="7"/>
  <c r="AE82" i="7"/>
  <c r="G83" i="7"/>
  <c r="K83" i="7"/>
  <c r="O83" i="7"/>
  <c r="O86" i="7" s="1"/>
  <c r="S83" i="7"/>
  <c r="W83" i="7"/>
  <c r="AA83" i="7"/>
  <c r="AE83" i="7"/>
  <c r="G84" i="7"/>
  <c r="K84" i="7"/>
  <c r="O84" i="7"/>
  <c r="S84" i="7"/>
  <c r="S86" i="7" s="1"/>
  <c r="W84" i="7"/>
  <c r="AA84" i="7"/>
  <c r="AE84" i="7"/>
  <c r="G85" i="7"/>
  <c r="K85" i="7"/>
  <c r="O85" i="7"/>
  <c r="S85" i="7"/>
  <c r="W85" i="7"/>
  <c r="AA85" i="7"/>
  <c r="AE85" i="7"/>
  <c r="D86" i="7"/>
  <c r="E86" i="7"/>
  <c r="F86" i="7"/>
  <c r="H86" i="7"/>
  <c r="I86" i="7"/>
  <c r="J86" i="7"/>
  <c r="L86" i="7"/>
  <c r="M86" i="7"/>
  <c r="N86" i="7"/>
  <c r="P86" i="7"/>
  <c r="Q86" i="7"/>
  <c r="R86" i="7"/>
  <c r="T86" i="7"/>
  <c r="U86" i="7"/>
  <c r="V86" i="7"/>
  <c r="X86" i="7"/>
  <c r="Y86" i="7"/>
  <c r="Z86" i="7"/>
  <c r="AB86" i="7"/>
  <c r="AC86" i="7"/>
  <c r="AD86" i="7"/>
  <c r="AE86" i="7"/>
  <c r="G87" i="7"/>
  <c r="K87" i="7"/>
  <c r="O87" i="7"/>
  <c r="S87" i="7"/>
  <c r="S91" i="7" s="1"/>
  <c r="W87" i="7"/>
  <c r="AA87" i="7"/>
  <c r="AE87" i="7"/>
  <c r="G88" i="7"/>
  <c r="K88" i="7"/>
  <c r="O88" i="7"/>
  <c r="S88" i="7"/>
  <c r="W88" i="7"/>
  <c r="AA88" i="7"/>
  <c r="AE88" i="7"/>
  <c r="G89" i="7"/>
  <c r="K89" i="7"/>
  <c r="K91" i="7" s="1"/>
  <c r="O89" i="7"/>
  <c r="S89" i="7"/>
  <c r="W89" i="7"/>
  <c r="AA89" i="7"/>
  <c r="AA91" i="7" s="1"/>
  <c r="AE89" i="7"/>
  <c r="G90" i="7"/>
  <c r="K90" i="7"/>
  <c r="O90" i="7"/>
  <c r="S90" i="7"/>
  <c r="W90" i="7"/>
  <c r="AA90" i="7"/>
  <c r="AE90" i="7"/>
  <c r="D91" i="7"/>
  <c r="E91" i="7"/>
  <c r="F91" i="7"/>
  <c r="H91" i="7"/>
  <c r="I91" i="7"/>
  <c r="J91" i="7"/>
  <c r="L91" i="7"/>
  <c r="M91" i="7"/>
  <c r="N91" i="7"/>
  <c r="P91" i="7"/>
  <c r="Q91" i="7"/>
  <c r="R91" i="7"/>
  <c r="T91" i="7"/>
  <c r="U91" i="7"/>
  <c r="V91" i="7"/>
  <c r="X91" i="7"/>
  <c r="Y91" i="7"/>
  <c r="Z91" i="7"/>
  <c r="AB91" i="7"/>
  <c r="AC91" i="7"/>
  <c r="AD91" i="7"/>
  <c r="G92" i="7"/>
  <c r="K92" i="7"/>
  <c r="O92" i="7"/>
  <c r="S92" i="7"/>
  <c r="S96" i="7" s="1"/>
  <c r="W92" i="7"/>
  <c r="AA92" i="7"/>
  <c r="AE92" i="7"/>
  <c r="G93" i="7"/>
  <c r="K93" i="7"/>
  <c r="O93" i="7"/>
  <c r="S93" i="7"/>
  <c r="W93" i="7"/>
  <c r="W96" i="7" s="1"/>
  <c r="AA93" i="7"/>
  <c r="AE93" i="7"/>
  <c r="G94" i="7"/>
  <c r="K94" i="7"/>
  <c r="O94" i="7"/>
  <c r="S94" i="7"/>
  <c r="W94" i="7"/>
  <c r="AA94" i="7"/>
  <c r="AE94" i="7"/>
  <c r="G95" i="7"/>
  <c r="K95" i="7"/>
  <c r="O95" i="7"/>
  <c r="O96" i="7" s="1"/>
  <c r="S95" i="7"/>
  <c r="W95" i="7"/>
  <c r="AA95" i="7"/>
  <c r="AE95" i="7"/>
  <c r="AE96" i="7" s="1"/>
  <c r="D96" i="7"/>
  <c r="E96" i="7"/>
  <c r="F96" i="7"/>
  <c r="G96" i="7"/>
  <c r="H96" i="7"/>
  <c r="I96" i="7"/>
  <c r="J96" i="7"/>
  <c r="L96" i="7"/>
  <c r="M96" i="7"/>
  <c r="N96" i="7"/>
  <c r="P96" i="7"/>
  <c r="Q96" i="7"/>
  <c r="R96" i="7"/>
  <c r="T96" i="7"/>
  <c r="U96" i="7"/>
  <c r="V96" i="7"/>
  <c r="X96" i="7"/>
  <c r="Y96" i="7"/>
  <c r="Z96" i="7"/>
  <c r="AB96" i="7"/>
  <c r="AC96" i="7"/>
  <c r="AD96" i="7"/>
  <c r="G97" i="7"/>
  <c r="K97" i="7"/>
  <c r="K101" i="7" s="1"/>
  <c r="O97" i="7"/>
  <c r="S97" i="7"/>
  <c r="W97" i="7"/>
  <c r="AA97" i="7"/>
  <c r="AA101" i="7" s="1"/>
  <c r="AE97" i="7"/>
  <c r="G98" i="7"/>
  <c r="K98" i="7"/>
  <c r="O98" i="7"/>
  <c r="O101" i="7" s="1"/>
  <c r="S98" i="7"/>
  <c r="W98" i="7"/>
  <c r="AA98" i="7"/>
  <c r="AE98" i="7"/>
  <c r="AE101" i="7" s="1"/>
  <c r="G99" i="7"/>
  <c r="K99" i="7"/>
  <c r="O99" i="7"/>
  <c r="S99" i="7"/>
  <c r="S101" i="7" s="1"/>
  <c r="W99" i="7"/>
  <c r="AA99" i="7"/>
  <c r="AE99" i="7"/>
  <c r="G100" i="7"/>
  <c r="K100" i="7"/>
  <c r="O100" i="7"/>
  <c r="S100" i="7"/>
  <c r="W100" i="7"/>
  <c r="AA100" i="7"/>
  <c r="AE100" i="7"/>
  <c r="D101" i="7"/>
  <c r="E101" i="7"/>
  <c r="E107" i="7" s="1"/>
  <c r="F101" i="7"/>
  <c r="H101" i="7"/>
  <c r="I101" i="7"/>
  <c r="J101" i="7"/>
  <c r="L101" i="7"/>
  <c r="M101" i="7"/>
  <c r="N101" i="7"/>
  <c r="P101" i="7"/>
  <c r="Q101" i="7"/>
  <c r="R101" i="7"/>
  <c r="T101" i="7"/>
  <c r="U101" i="7"/>
  <c r="V101" i="7"/>
  <c r="X101" i="7"/>
  <c r="Y101" i="7"/>
  <c r="Z101" i="7"/>
  <c r="AB101" i="7"/>
  <c r="AC101" i="7"/>
  <c r="AD101" i="7"/>
  <c r="AD107" i="7" s="1"/>
  <c r="G102" i="7"/>
  <c r="K102" i="7"/>
  <c r="O102" i="7"/>
  <c r="S102" i="7"/>
  <c r="S106" i="7" s="1"/>
  <c r="S107" i="7" s="1"/>
  <c r="W102" i="7"/>
  <c r="AA102" i="7"/>
  <c r="AE102" i="7"/>
  <c r="G103" i="7"/>
  <c r="K103" i="7"/>
  <c r="O103" i="7"/>
  <c r="S103" i="7"/>
  <c r="W103" i="7"/>
  <c r="AA103" i="7"/>
  <c r="AE103" i="7"/>
  <c r="G104" i="7"/>
  <c r="K104" i="7"/>
  <c r="K106" i="7" s="1"/>
  <c r="K107" i="7" s="1"/>
  <c r="O104" i="7"/>
  <c r="S104" i="7"/>
  <c r="W104" i="7"/>
  <c r="AA104" i="7"/>
  <c r="AA106" i="7" s="1"/>
  <c r="AA107" i="7" s="1"/>
  <c r="AE104" i="7"/>
  <c r="G105" i="7"/>
  <c r="K105" i="7"/>
  <c r="O105" i="7"/>
  <c r="O106" i="7" s="1"/>
  <c r="O107" i="7" s="1"/>
  <c r="S105" i="7"/>
  <c r="W105" i="7"/>
  <c r="AA105" i="7"/>
  <c r="AE105" i="7"/>
  <c r="AE106" i="7" s="1"/>
  <c r="AE107" i="7" s="1"/>
  <c r="D106" i="7"/>
  <c r="D107" i="7" s="1"/>
  <c r="E106" i="7"/>
  <c r="F106" i="7"/>
  <c r="H106" i="7"/>
  <c r="H107" i="7" s="1"/>
  <c r="I106" i="7"/>
  <c r="J106" i="7"/>
  <c r="L106" i="7"/>
  <c r="L107" i="7" s="1"/>
  <c r="M106" i="7"/>
  <c r="N106" i="7"/>
  <c r="P106" i="7"/>
  <c r="P107" i="7" s="1"/>
  <c r="Q106" i="7"/>
  <c r="R106" i="7"/>
  <c r="T106" i="7"/>
  <c r="T107" i="7" s="1"/>
  <c r="U106" i="7"/>
  <c r="V106" i="7"/>
  <c r="X106" i="7"/>
  <c r="X107" i="7" s="1"/>
  <c r="Y106" i="7"/>
  <c r="Z106" i="7"/>
  <c r="AB106" i="7"/>
  <c r="AB107" i="7" s="1"/>
  <c r="AC106" i="7"/>
  <c r="AD106" i="7"/>
  <c r="F107" i="7"/>
  <c r="J107" i="7"/>
  <c r="N107" i="7"/>
  <c r="R107" i="7"/>
  <c r="V107" i="7"/>
  <c r="Z107" i="7"/>
  <c r="G108" i="7"/>
  <c r="K108" i="7"/>
  <c r="K112" i="7" s="1"/>
  <c r="O108" i="7"/>
  <c r="S108" i="7"/>
  <c r="W108" i="7"/>
  <c r="AA108" i="7"/>
  <c r="AA112" i="7" s="1"/>
  <c r="AE108" i="7"/>
  <c r="G109" i="7"/>
  <c r="K109" i="7"/>
  <c r="O109" i="7"/>
  <c r="S109" i="7"/>
  <c r="W109" i="7"/>
  <c r="AA109" i="7"/>
  <c r="AE109" i="7"/>
  <c r="G110" i="7"/>
  <c r="K110" i="7"/>
  <c r="O110" i="7"/>
  <c r="S110" i="7"/>
  <c r="S112" i="7" s="1"/>
  <c r="W110" i="7"/>
  <c r="AA110" i="7"/>
  <c r="AE110" i="7"/>
  <c r="G111" i="7"/>
  <c r="K111" i="7"/>
  <c r="O111" i="7"/>
  <c r="S111" i="7"/>
  <c r="W111" i="7"/>
  <c r="AA111" i="7"/>
  <c r="AE111" i="7"/>
  <c r="D112" i="7"/>
  <c r="E112" i="7"/>
  <c r="F112" i="7"/>
  <c r="H112" i="7"/>
  <c r="I112" i="7"/>
  <c r="J112" i="7"/>
  <c r="L112" i="7"/>
  <c r="M112" i="7"/>
  <c r="N112" i="7"/>
  <c r="P112" i="7"/>
  <c r="Q112" i="7"/>
  <c r="R112" i="7"/>
  <c r="T112" i="7"/>
  <c r="U112" i="7"/>
  <c r="V112" i="7"/>
  <c r="X112" i="7"/>
  <c r="Y112" i="7"/>
  <c r="Z112" i="7"/>
  <c r="AB112" i="7"/>
  <c r="AC112" i="7"/>
  <c r="AD112" i="7"/>
  <c r="G113" i="7"/>
  <c r="K113" i="7"/>
  <c r="O113" i="7"/>
  <c r="O117" i="7" s="1"/>
  <c r="S113" i="7"/>
  <c r="S117" i="7" s="1"/>
  <c r="W113" i="7"/>
  <c r="AA113" i="7"/>
  <c r="AE113" i="7"/>
  <c r="G114" i="7"/>
  <c r="K114" i="7"/>
  <c r="O114" i="7"/>
  <c r="S114" i="7"/>
  <c r="W114" i="7"/>
  <c r="AA114" i="7"/>
  <c r="AE114" i="7"/>
  <c r="G115" i="7"/>
  <c r="K115" i="7"/>
  <c r="O115" i="7"/>
  <c r="S115" i="7"/>
  <c r="W115" i="7"/>
  <c r="AA115" i="7"/>
  <c r="AE115" i="7"/>
  <c r="G116" i="7"/>
  <c r="K116" i="7"/>
  <c r="O116" i="7"/>
  <c r="S116" i="7"/>
  <c r="W116" i="7"/>
  <c r="AA116" i="7"/>
  <c r="AE116" i="7"/>
  <c r="D117" i="7"/>
  <c r="E117" i="7"/>
  <c r="F117" i="7"/>
  <c r="H117" i="7"/>
  <c r="I117" i="7"/>
  <c r="J117" i="7"/>
  <c r="L117" i="7"/>
  <c r="M117" i="7"/>
  <c r="N117" i="7"/>
  <c r="P117" i="7"/>
  <c r="Q117" i="7"/>
  <c r="R117" i="7"/>
  <c r="T117" i="7"/>
  <c r="U117" i="7"/>
  <c r="V117" i="7"/>
  <c r="X117" i="7"/>
  <c r="Y117" i="7"/>
  <c r="Z117" i="7"/>
  <c r="AB117" i="7"/>
  <c r="AC117" i="7"/>
  <c r="AD117" i="7"/>
  <c r="AE117" i="7"/>
  <c r="G118" i="7"/>
  <c r="K118" i="7"/>
  <c r="O118" i="7"/>
  <c r="S118" i="7"/>
  <c r="S122" i="7" s="1"/>
  <c r="W118" i="7"/>
  <c r="AA118" i="7"/>
  <c r="AE118" i="7"/>
  <c r="G119" i="7"/>
  <c r="K119" i="7"/>
  <c r="O119" i="7"/>
  <c r="S119" i="7"/>
  <c r="W119" i="7"/>
  <c r="AA119" i="7"/>
  <c r="AE119" i="7"/>
  <c r="G120" i="7"/>
  <c r="K120" i="7"/>
  <c r="K122" i="7" s="1"/>
  <c r="O120" i="7"/>
  <c r="S120" i="7"/>
  <c r="W120" i="7"/>
  <c r="AA120" i="7"/>
  <c r="AA122" i="7" s="1"/>
  <c r="AE120" i="7"/>
  <c r="G121" i="7"/>
  <c r="K121" i="7"/>
  <c r="O121" i="7"/>
  <c r="O122" i="7" s="1"/>
  <c r="S121" i="7"/>
  <c r="W121" i="7"/>
  <c r="AA121" i="7"/>
  <c r="AE121" i="7"/>
  <c r="AE122" i="7" s="1"/>
  <c r="D122" i="7"/>
  <c r="E122" i="7"/>
  <c r="F122" i="7"/>
  <c r="H122" i="7"/>
  <c r="H128" i="7" s="1"/>
  <c r="I122" i="7"/>
  <c r="J122" i="7"/>
  <c r="L122" i="7"/>
  <c r="L128" i="7" s="1"/>
  <c r="M122" i="7"/>
  <c r="N122" i="7"/>
  <c r="P122" i="7"/>
  <c r="P128" i="7" s="1"/>
  <c r="Q122" i="7"/>
  <c r="R122" i="7"/>
  <c r="T122" i="7"/>
  <c r="T128" i="7" s="1"/>
  <c r="U122" i="7"/>
  <c r="V122" i="7"/>
  <c r="X122" i="7"/>
  <c r="Y122" i="7"/>
  <c r="Z122" i="7"/>
  <c r="AB122" i="7"/>
  <c r="AC122" i="7"/>
  <c r="AD122" i="7"/>
  <c r="G123" i="7"/>
  <c r="AF123" i="7" s="1"/>
  <c r="K123" i="7"/>
  <c r="K127" i="7" s="1"/>
  <c r="K128" i="7" s="1"/>
  <c r="O123" i="7"/>
  <c r="S123" i="7"/>
  <c r="W123" i="7"/>
  <c r="AA123" i="7"/>
  <c r="AA127" i="7" s="1"/>
  <c r="AA128" i="7" s="1"/>
  <c r="AE123" i="7"/>
  <c r="G124" i="7"/>
  <c r="AF124" i="7" s="1"/>
  <c r="K124" i="7"/>
  <c r="O124" i="7"/>
  <c r="S124" i="7"/>
  <c r="W124" i="7"/>
  <c r="AA124" i="7"/>
  <c r="AE124" i="7"/>
  <c r="G125" i="7"/>
  <c r="AF125" i="7" s="1"/>
  <c r="K125" i="7"/>
  <c r="O125" i="7"/>
  <c r="S125" i="7"/>
  <c r="W125" i="7"/>
  <c r="AA125" i="7"/>
  <c r="AE125" i="7"/>
  <c r="G126" i="7"/>
  <c r="AF126" i="7" s="1"/>
  <c r="K126" i="7"/>
  <c r="O126" i="7"/>
  <c r="S126" i="7"/>
  <c r="W126" i="7"/>
  <c r="AA126" i="7"/>
  <c r="AE126" i="7"/>
  <c r="D127" i="7"/>
  <c r="E127" i="7"/>
  <c r="E128" i="7" s="1"/>
  <c r="F127" i="7"/>
  <c r="H127" i="7"/>
  <c r="I127" i="7"/>
  <c r="I128" i="7" s="1"/>
  <c r="J127" i="7"/>
  <c r="L127" i="7"/>
  <c r="M127" i="7"/>
  <c r="M128" i="7" s="1"/>
  <c r="N127" i="7"/>
  <c r="O127" i="7"/>
  <c r="P127" i="7"/>
  <c r="Q127" i="7"/>
  <c r="Q128" i="7" s="1"/>
  <c r="R127" i="7"/>
  <c r="S127" i="7"/>
  <c r="T127" i="7"/>
  <c r="U127" i="7"/>
  <c r="U128" i="7" s="1"/>
  <c r="V127" i="7"/>
  <c r="W127" i="7"/>
  <c r="X127" i="7"/>
  <c r="Y127" i="7"/>
  <c r="Y128" i="7" s="1"/>
  <c r="Z127" i="7"/>
  <c r="AB127" i="7"/>
  <c r="AC127" i="7"/>
  <c r="AC128" i="7" s="1"/>
  <c r="AD127" i="7"/>
  <c r="AE127" i="7"/>
  <c r="F128" i="7"/>
  <c r="J128" i="7"/>
  <c r="N128" i="7"/>
  <c r="R128" i="7"/>
  <c r="V128" i="7"/>
  <c r="Z128" i="7"/>
  <c r="AD128" i="7"/>
  <c r="G129" i="7"/>
  <c r="K129" i="7"/>
  <c r="O129" i="7"/>
  <c r="S129" i="7"/>
  <c r="S133" i="7" s="1"/>
  <c r="W129" i="7"/>
  <c r="AA129" i="7"/>
  <c r="AE129" i="7"/>
  <c r="G130" i="7"/>
  <c r="K130" i="7"/>
  <c r="O130" i="7"/>
  <c r="S130" i="7"/>
  <c r="W130" i="7"/>
  <c r="AA130" i="7"/>
  <c r="AE130" i="7"/>
  <c r="G131" i="7"/>
  <c r="K131" i="7"/>
  <c r="O131" i="7"/>
  <c r="S131" i="7"/>
  <c r="W131" i="7"/>
  <c r="AA131" i="7"/>
  <c r="AE131" i="7"/>
  <c r="G132" i="7"/>
  <c r="K132" i="7"/>
  <c r="O132" i="7"/>
  <c r="O133" i="7" s="1"/>
  <c r="S132" i="7"/>
  <c r="W132" i="7"/>
  <c r="AA132" i="7"/>
  <c r="AE132" i="7"/>
  <c r="D133" i="7"/>
  <c r="E133" i="7"/>
  <c r="F133" i="7"/>
  <c r="H133" i="7"/>
  <c r="I133" i="7"/>
  <c r="J133" i="7"/>
  <c r="L133" i="7"/>
  <c r="M133" i="7"/>
  <c r="N133" i="7"/>
  <c r="P133" i="7"/>
  <c r="Q133" i="7"/>
  <c r="R133" i="7"/>
  <c r="T133" i="7"/>
  <c r="U133" i="7"/>
  <c r="V133" i="7"/>
  <c r="X133" i="7"/>
  <c r="Y133" i="7"/>
  <c r="Z133" i="7"/>
  <c r="AB133" i="7"/>
  <c r="AC133" i="7"/>
  <c r="AD133" i="7"/>
  <c r="AE133" i="7"/>
  <c r="G134" i="7"/>
  <c r="K134" i="7"/>
  <c r="O134" i="7"/>
  <c r="S134" i="7"/>
  <c r="S138" i="7" s="1"/>
  <c r="W134" i="7"/>
  <c r="AA134" i="7"/>
  <c r="AE134" i="7"/>
  <c r="G135" i="7"/>
  <c r="K135" i="7"/>
  <c r="O135" i="7"/>
  <c r="S135" i="7"/>
  <c r="W135" i="7"/>
  <c r="AA135" i="7"/>
  <c r="AE135" i="7"/>
  <c r="G136" i="7"/>
  <c r="K136" i="7"/>
  <c r="K138" i="7" s="1"/>
  <c r="O136" i="7"/>
  <c r="S136" i="7"/>
  <c r="W136" i="7"/>
  <c r="AA136" i="7"/>
  <c r="AA138" i="7" s="1"/>
  <c r="AE136" i="7"/>
  <c r="G137" i="7"/>
  <c r="K137" i="7"/>
  <c r="O137" i="7"/>
  <c r="O138" i="7" s="1"/>
  <c r="S137" i="7"/>
  <c r="W137" i="7"/>
  <c r="AA137" i="7"/>
  <c r="AE137" i="7"/>
  <c r="AE138" i="7" s="1"/>
  <c r="AE144" i="7" s="1"/>
  <c r="D138" i="7"/>
  <c r="E138" i="7"/>
  <c r="F138" i="7"/>
  <c r="H138" i="7"/>
  <c r="H144" i="7" s="1"/>
  <c r="I138" i="7"/>
  <c r="J138" i="7"/>
  <c r="L138" i="7"/>
  <c r="L144" i="7" s="1"/>
  <c r="M138" i="7"/>
  <c r="N138" i="7"/>
  <c r="P138" i="7"/>
  <c r="P144" i="7" s="1"/>
  <c r="Q138" i="7"/>
  <c r="R138" i="7"/>
  <c r="T138" i="7"/>
  <c r="T144" i="7" s="1"/>
  <c r="U138" i="7"/>
  <c r="V138" i="7"/>
  <c r="X138" i="7"/>
  <c r="Y138" i="7"/>
  <c r="Z138" i="7"/>
  <c r="AB138" i="7"/>
  <c r="AC138" i="7"/>
  <c r="AD138" i="7"/>
  <c r="G139" i="7"/>
  <c r="AF139" i="7" s="1"/>
  <c r="K139" i="7"/>
  <c r="K143" i="7" s="1"/>
  <c r="K144" i="7" s="1"/>
  <c r="O139" i="7"/>
  <c r="S139" i="7"/>
  <c r="W139" i="7"/>
  <c r="AA139" i="7"/>
  <c r="AA143" i="7" s="1"/>
  <c r="AA144" i="7" s="1"/>
  <c r="AE139" i="7"/>
  <c r="G140" i="7"/>
  <c r="AF140" i="7" s="1"/>
  <c r="K140" i="7"/>
  <c r="O140" i="7"/>
  <c r="S140" i="7"/>
  <c r="W140" i="7"/>
  <c r="AA140" i="7"/>
  <c r="AE140" i="7"/>
  <c r="G141" i="7"/>
  <c r="AF141" i="7" s="1"/>
  <c r="K141" i="7"/>
  <c r="O141" i="7"/>
  <c r="S141" i="7"/>
  <c r="W141" i="7"/>
  <c r="AA141" i="7"/>
  <c r="AE141" i="7"/>
  <c r="G142" i="7"/>
  <c r="AF142" i="7" s="1"/>
  <c r="K142" i="7"/>
  <c r="O142" i="7"/>
  <c r="S142" i="7"/>
  <c r="W142" i="7"/>
  <c r="AA142" i="7"/>
  <c r="AE142" i="7"/>
  <c r="D143" i="7"/>
  <c r="E143" i="7"/>
  <c r="E144" i="7" s="1"/>
  <c r="F143" i="7"/>
  <c r="H143" i="7"/>
  <c r="I143" i="7"/>
  <c r="I144" i="7" s="1"/>
  <c r="J143" i="7"/>
  <c r="L143" i="7"/>
  <c r="M143" i="7"/>
  <c r="N143" i="7"/>
  <c r="O143" i="7"/>
  <c r="P143" i="7"/>
  <c r="Q143" i="7"/>
  <c r="Q144" i="7" s="1"/>
  <c r="R143" i="7"/>
  <c r="S143" i="7"/>
  <c r="T143" i="7"/>
  <c r="U143" i="7"/>
  <c r="U144" i="7" s="1"/>
  <c r="V143" i="7"/>
  <c r="W143" i="7"/>
  <c r="X143" i="7"/>
  <c r="Y143" i="7"/>
  <c r="Z143" i="7"/>
  <c r="AB143" i="7"/>
  <c r="AC143" i="7"/>
  <c r="AC144" i="7" s="1"/>
  <c r="AD143" i="7"/>
  <c r="AE143" i="7"/>
  <c r="F144" i="7"/>
  <c r="J144" i="7"/>
  <c r="M144" i="7"/>
  <c r="N144" i="7"/>
  <c r="R144" i="7"/>
  <c r="V144" i="7"/>
  <c r="Y144" i="7"/>
  <c r="Z144" i="7"/>
  <c r="AD144" i="7"/>
  <c r="G145" i="7"/>
  <c r="K145" i="7"/>
  <c r="O145" i="7"/>
  <c r="O149" i="7" s="1"/>
  <c r="S145" i="7"/>
  <c r="W145" i="7"/>
  <c r="AA145" i="7"/>
  <c r="AE145" i="7"/>
  <c r="AE149" i="7" s="1"/>
  <c r="G146" i="7"/>
  <c r="K146" i="7"/>
  <c r="O146" i="7"/>
  <c r="S146" i="7"/>
  <c r="S149" i="7" s="1"/>
  <c r="W146" i="7"/>
  <c r="AA146" i="7"/>
  <c r="AE146" i="7"/>
  <c r="G147" i="7"/>
  <c r="K147" i="7"/>
  <c r="O147" i="7"/>
  <c r="S147" i="7"/>
  <c r="W147" i="7"/>
  <c r="AA147" i="7"/>
  <c r="AE147" i="7"/>
  <c r="G148" i="7"/>
  <c r="K148" i="7"/>
  <c r="O148" i="7"/>
  <c r="S148" i="7"/>
  <c r="W148" i="7"/>
  <c r="AA148" i="7"/>
  <c r="AE148" i="7"/>
  <c r="D149" i="7"/>
  <c r="E149" i="7"/>
  <c r="F149" i="7"/>
  <c r="H149" i="7"/>
  <c r="I149" i="7"/>
  <c r="J149" i="7"/>
  <c r="L149" i="7"/>
  <c r="M149" i="7"/>
  <c r="N149" i="7"/>
  <c r="P149" i="7"/>
  <c r="Q149" i="7"/>
  <c r="R149" i="7"/>
  <c r="T149" i="7"/>
  <c r="U149" i="7"/>
  <c r="V149" i="7"/>
  <c r="X149" i="7"/>
  <c r="Y149" i="7"/>
  <c r="Z149" i="7"/>
  <c r="AB149" i="7"/>
  <c r="AC149" i="7"/>
  <c r="AD149" i="7"/>
  <c r="G150" i="7"/>
  <c r="K150" i="7"/>
  <c r="O150" i="7"/>
  <c r="S150" i="7"/>
  <c r="W150" i="7"/>
  <c r="W154" i="7" s="1"/>
  <c r="AA150" i="7"/>
  <c r="AE150" i="7"/>
  <c r="G151" i="7"/>
  <c r="K151" i="7"/>
  <c r="O151" i="7"/>
  <c r="S151" i="7"/>
  <c r="W151" i="7"/>
  <c r="AA151" i="7"/>
  <c r="AE151" i="7"/>
  <c r="G152" i="7"/>
  <c r="K152" i="7"/>
  <c r="O152" i="7"/>
  <c r="O154" i="7" s="1"/>
  <c r="S152" i="7"/>
  <c r="W152" i="7"/>
  <c r="AA152" i="7"/>
  <c r="AE152" i="7"/>
  <c r="AE154" i="7" s="1"/>
  <c r="G153" i="7"/>
  <c r="K153" i="7"/>
  <c r="O153" i="7"/>
  <c r="S153" i="7"/>
  <c r="S154" i="7" s="1"/>
  <c r="W153" i="7"/>
  <c r="AA153" i="7"/>
  <c r="AE153" i="7"/>
  <c r="D154" i="7"/>
  <c r="E154" i="7"/>
  <c r="F154" i="7"/>
  <c r="H154" i="7"/>
  <c r="I154" i="7"/>
  <c r="J154" i="7"/>
  <c r="L154" i="7"/>
  <c r="M154" i="7"/>
  <c r="N154" i="7"/>
  <c r="P154" i="7"/>
  <c r="Q154" i="7"/>
  <c r="R154" i="7"/>
  <c r="T154" i="7"/>
  <c r="U154" i="7"/>
  <c r="V154" i="7"/>
  <c r="X154" i="7"/>
  <c r="Y154" i="7"/>
  <c r="Z154" i="7"/>
  <c r="AB154" i="7"/>
  <c r="AC154" i="7"/>
  <c r="AD154" i="7"/>
  <c r="G155" i="7"/>
  <c r="AF155" i="7" s="1"/>
  <c r="K155" i="7"/>
  <c r="O155" i="7"/>
  <c r="S155" i="7"/>
  <c r="W155" i="7"/>
  <c r="W159" i="7" s="1"/>
  <c r="AA155" i="7"/>
  <c r="AE155" i="7"/>
  <c r="G156" i="7"/>
  <c r="AF156" i="7" s="1"/>
  <c r="K156" i="7"/>
  <c r="O156" i="7"/>
  <c r="S156" i="7"/>
  <c r="W156" i="7"/>
  <c r="AA156" i="7"/>
  <c r="AE156" i="7"/>
  <c r="G157" i="7"/>
  <c r="AF157" i="7" s="1"/>
  <c r="K157" i="7"/>
  <c r="O157" i="7"/>
  <c r="S157" i="7"/>
  <c r="W157" i="7"/>
  <c r="AA157" i="7"/>
  <c r="AE157" i="7"/>
  <c r="G158" i="7"/>
  <c r="AF158" i="7" s="1"/>
  <c r="K158" i="7"/>
  <c r="O158" i="7"/>
  <c r="S158" i="7"/>
  <c r="W158" i="7"/>
  <c r="AA158" i="7"/>
  <c r="AE158" i="7"/>
  <c r="D159" i="7"/>
  <c r="E159" i="7"/>
  <c r="F159" i="7"/>
  <c r="H159" i="7"/>
  <c r="I159" i="7"/>
  <c r="J159" i="7"/>
  <c r="K159" i="7"/>
  <c r="L159" i="7"/>
  <c r="M159" i="7"/>
  <c r="N159" i="7"/>
  <c r="O159" i="7"/>
  <c r="P159" i="7"/>
  <c r="Q159" i="7"/>
  <c r="R159" i="7"/>
  <c r="S159" i="7"/>
  <c r="T159" i="7"/>
  <c r="U159" i="7"/>
  <c r="V159" i="7"/>
  <c r="X159" i="7"/>
  <c r="Y159" i="7"/>
  <c r="Z159" i="7"/>
  <c r="AA159" i="7"/>
  <c r="AB159" i="7"/>
  <c r="AC159" i="7"/>
  <c r="AD159" i="7"/>
  <c r="AE159" i="7"/>
  <c r="G160" i="7"/>
  <c r="G164" i="7" s="1"/>
  <c r="K160" i="7"/>
  <c r="O160" i="7"/>
  <c r="S160" i="7"/>
  <c r="W160" i="7"/>
  <c r="W164" i="7" s="1"/>
  <c r="AA160" i="7"/>
  <c r="AE160" i="7"/>
  <c r="G161" i="7"/>
  <c r="K161" i="7"/>
  <c r="K164" i="7" s="1"/>
  <c r="O161" i="7"/>
  <c r="S161" i="7"/>
  <c r="W161" i="7"/>
  <c r="AA161" i="7"/>
  <c r="AA164" i="7" s="1"/>
  <c r="AE161" i="7"/>
  <c r="G162" i="7"/>
  <c r="K162" i="7"/>
  <c r="O162" i="7"/>
  <c r="S162" i="7"/>
  <c r="W162" i="7"/>
  <c r="AA162" i="7"/>
  <c r="AE162" i="7"/>
  <c r="G163" i="7"/>
  <c r="K163" i="7"/>
  <c r="O163" i="7"/>
  <c r="S163" i="7"/>
  <c r="S164" i="7" s="1"/>
  <c r="W163" i="7"/>
  <c r="AA163" i="7"/>
  <c r="AE163" i="7"/>
  <c r="D164" i="7"/>
  <c r="E164" i="7"/>
  <c r="F164" i="7"/>
  <c r="H164" i="7"/>
  <c r="I164" i="7"/>
  <c r="J164" i="7"/>
  <c r="L164" i="7"/>
  <c r="M164" i="7"/>
  <c r="N164" i="7"/>
  <c r="P164" i="7"/>
  <c r="Q164" i="7"/>
  <c r="R164" i="7"/>
  <c r="T164" i="7"/>
  <c r="U164" i="7"/>
  <c r="V164" i="7"/>
  <c r="X164" i="7"/>
  <c r="Y164" i="7"/>
  <c r="Z164" i="7"/>
  <c r="AB164" i="7"/>
  <c r="AC164" i="7"/>
  <c r="AD164" i="7"/>
  <c r="G165" i="7"/>
  <c r="K165" i="7"/>
  <c r="O165" i="7"/>
  <c r="O169" i="7" s="1"/>
  <c r="S165" i="7"/>
  <c r="W165" i="7"/>
  <c r="AA165" i="7"/>
  <c r="AE165" i="7"/>
  <c r="AE169" i="7" s="1"/>
  <c r="G166" i="7"/>
  <c r="K166" i="7"/>
  <c r="O166" i="7"/>
  <c r="S166" i="7"/>
  <c r="S169" i="7" s="1"/>
  <c r="W166" i="7"/>
  <c r="AA166" i="7"/>
  <c r="AE166" i="7"/>
  <c r="G167" i="7"/>
  <c r="K167" i="7"/>
  <c r="O167" i="7"/>
  <c r="S167" i="7"/>
  <c r="W167" i="7"/>
  <c r="AA167" i="7"/>
  <c r="AE167" i="7"/>
  <c r="G168" i="7"/>
  <c r="K168" i="7"/>
  <c r="O168" i="7"/>
  <c r="S168" i="7"/>
  <c r="W168" i="7"/>
  <c r="AA168" i="7"/>
  <c r="AE168" i="7"/>
  <c r="D169" i="7"/>
  <c r="E169" i="7"/>
  <c r="F169" i="7"/>
  <c r="H169" i="7"/>
  <c r="I169" i="7"/>
  <c r="J169" i="7"/>
  <c r="L169" i="7"/>
  <c r="M169" i="7"/>
  <c r="N169" i="7"/>
  <c r="P169" i="7"/>
  <c r="Q169" i="7"/>
  <c r="R169" i="7"/>
  <c r="T169" i="7"/>
  <c r="U169" i="7"/>
  <c r="V169" i="7"/>
  <c r="X169" i="7"/>
  <c r="Y169" i="7"/>
  <c r="Z169" i="7"/>
  <c r="AB169" i="7"/>
  <c r="AC169" i="7"/>
  <c r="AD169" i="7"/>
  <c r="G170" i="7"/>
  <c r="K170" i="7"/>
  <c r="O170" i="7"/>
  <c r="S170" i="7"/>
  <c r="W170" i="7"/>
  <c r="W174" i="7" s="1"/>
  <c r="AA170" i="7"/>
  <c r="AE170" i="7"/>
  <c r="G171" i="7"/>
  <c r="K171" i="7"/>
  <c r="O171" i="7"/>
  <c r="S171" i="7"/>
  <c r="W171" i="7"/>
  <c r="AA171" i="7"/>
  <c r="AE171" i="7"/>
  <c r="G172" i="7"/>
  <c r="K172" i="7"/>
  <c r="O172" i="7"/>
  <c r="O174" i="7" s="1"/>
  <c r="S172" i="7"/>
  <c r="W172" i="7"/>
  <c r="AA172" i="7"/>
  <c r="AE172" i="7"/>
  <c r="AE174" i="7" s="1"/>
  <c r="G173" i="7"/>
  <c r="K173" i="7"/>
  <c r="O173" i="7"/>
  <c r="S173" i="7"/>
  <c r="S174" i="7" s="1"/>
  <c r="W173" i="7"/>
  <c r="AA173" i="7"/>
  <c r="AE173" i="7"/>
  <c r="D174" i="7"/>
  <c r="E174" i="7"/>
  <c r="F174" i="7"/>
  <c r="H174" i="7"/>
  <c r="I174" i="7"/>
  <c r="J174" i="7"/>
  <c r="L174" i="7"/>
  <c r="M174" i="7"/>
  <c r="N174" i="7"/>
  <c r="P174" i="7"/>
  <c r="Q174" i="7"/>
  <c r="R174" i="7"/>
  <c r="T174" i="7"/>
  <c r="U174" i="7"/>
  <c r="V174" i="7"/>
  <c r="X174" i="7"/>
  <c r="Y174" i="7"/>
  <c r="Z174" i="7"/>
  <c r="AB174" i="7"/>
  <c r="AC174" i="7"/>
  <c r="AD174" i="7"/>
  <c r="G175" i="7"/>
  <c r="AF175" i="7" s="1"/>
  <c r="K175" i="7"/>
  <c r="O175" i="7"/>
  <c r="S175" i="7"/>
  <c r="W175" i="7"/>
  <c r="W179" i="7" s="1"/>
  <c r="AA175" i="7"/>
  <c r="AE175" i="7"/>
  <c r="G176" i="7"/>
  <c r="AF176" i="7" s="1"/>
  <c r="K176" i="7"/>
  <c r="O176" i="7"/>
  <c r="S176" i="7"/>
  <c r="W176" i="7"/>
  <c r="AA176" i="7"/>
  <c r="AE176" i="7"/>
  <c r="G177" i="7"/>
  <c r="AF177" i="7" s="1"/>
  <c r="K177" i="7"/>
  <c r="O177" i="7"/>
  <c r="S177" i="7"/>
  <c r="W177" i="7"/>
  <c r="AA177" i="7"/>
  <c r="AE177" i="7"/>
  <c r="G178" i="7"/>
  <c r="AF178" i="7" s="1"/>
  <c r="K178" i="7"/>
  <c r="O178" i="7"/>
  <c r="S178" i="7"/>
  <c r="W178" i="7"/>
  <c r="AA178" i="7"/>
  <c r="AE178" i="7"/>
  <c r="D179" i="7"/>
  <c r="E179" i="7"/>
  <c r="F179" i="7"/>
  <c r="H179" i="7"/>
  <c r="I179" i="7"/>
  <c r="J179" i="7"/>
  <c r="K179" i="7"/>
  <c r="L179" i="7"/>
  <c r="M179" i="7"/>
  <c r="N179" i="7"/>
  <c r="O179" i="7"/>
  <c r="P179" i="7"/>
  <c r="Q179" i="7"/>
  <c r="R179" i="7"/>
  <c r="S179" i="7"/>
  <c r="T179" i="7"/>
  <c r="U179" i="7"/>
  <c r="V179" i="7"/>
  <c r="X179" i="7"/>
  <c r="Y179" i="7"/>
  <c r="Z179" i="7"/>
  <c r="AA179" i="7"/>
  <c r="AB179" i="7"/>
  <c r="AC179" i="7"/>
  <c r="AD179" i="7"/>
  <c r="AE179" i="7"/>
  <c r="G180" i="7"/>
  <c r="G184" i="7" s="1"/>
  <c r="K180" i="7"/>
  <c r="O180" i="7"/>
  <c r="S180" i="7"/>
  <c r="S184" i="7" s="1"/>
  <c r="W180" i="7"/>
  <c r="W184" i="7" s="1"/>
  <c r="AA180" i="7"/>
  <c r="AE180" i="7"/>
  <c r="G181" i="7"/>
  <c r="K181" i="7"/>
  <c r="K184" i="7" s="1"/>
  <c r="O181" i="7"/>
  <c r="S181" i="7"/>
  <c r="W181" i="7"/>
  <c r="AA181" i="7"/>
  <c r="AA184" i="7" s="1"/>
  <c r="AE181" i="7"/>
  <c r="G182" i="7"/>
  <c r="K182" i="7"/>
  <c r="O182" i="7"/>
  <c r="S182" i="7"/>
  <c r="W182" i="7"/>
  <c r="AA182" i="7"/>
  <c r="AE182" i="7"/>
  <c r="G183" i="7"/>
  <c r="K183" i="7"/>
  <c r="O183" i="7"/>
  <c r="S183" i="7"/>
  <c r="W183" i="7"/>
  <c r="AA183" i="7"/>
  <c r="AE183" i="7"/>
  <c r="D184" i="7"/>
  <c r="E184" i="7"/>
  <c r="F184" i="7"/>
  <c r="H184" i="7"/>
  <c r="I184" i="7"/>
  <c r="J184" i="7"/>
  <c r="L184" i="7"/>
  <c r="M184" i="7"/>
  <c r="N184" i="7"/>
  <c r="P184" i="7"/>
  <c r="Q184" i="7"/>
  <c r="R184" i="7"/>
  <c r="T184" i="7"/>
  <c r="U184" i="7"/>
  <c r="V184" i="7"/>
  <c r="X184" i="7"/>
  <c r="Y184" i="7"/>
  <c r="Z184" i="7"/>
  <c r="AB184" i="7"/>
  <c r="AC184" i="7"/>
  <c r="AD184" i="7"/>
  <c r="G185" i="7"/>
  <c r="K185" i="7"/>
  <c r="O185" i="7"/>
  <c r="O189" i="7" s="1"/>
  <c r="S185" i="7"/>
  <c r="W185" i="7"/>
  <c r="AA185" i="7"/>
  <c r="AE185" i="7"/>
  <c r="AE189" i="7" s="1"/>
  <c r="G186" i="7"/>
  <c r="K186" i="7"/>
  <c r="O186" i="7"/>
  <c r="S186" i="7"/>
  <c r="S189" i="7" s="1"/>
  <c r="W186" i="7"/>
  <c r="AA186" i="7"/>
  <c r="AE186" i="7"/>
  <c r="G187" i="7"/>
  <c r="K187" i="7"/>
  <c r="O187" i="7"/>
  <c r="S187" i="7"/>
  <c r="W187" i="7"/>
  <c r="AA187" i="7"/>
  <c r="AE187" i="7"/>
  <c r="G188" i="7"/>
  <c r="K188" i="7"/>
  <c r="O188" i="7"/>
  <c r="S188" i="7"/>
  <c r="W188" i="7"/>
  <c r="AA188" i="7"/>
  <c r="AE188" i="7"/>
  <c r="D189" i="7"/>
  <c r="E189" i="7"/>
  <c r="F189" i="7"/>
  <c r="H189" i="7"/>
  <c r="I189" i="7"/>
  <c r="J189" i="7"/>
  <c r="L189" i="7"/>
  <c r="M189" i="7"/>
  <c r="N189" i="7"/>
  <c r="P189" i="7"/>
  <c r="Q189" i="7"/>
  <c r="R189" i="7"/>
  <c r="T189" i="7"/>
  <c r="U189" i="7"/>
  <c r="V189" i="7"/>
  <c r="X189" i="7"/>
  <c r="Y189" i="7"/>
  <c r="Z189" i="7"/>
  <c r="AB189" i="7"/>
  <c r="AC189" i="7"/>
  <c r="AD189" i="7"/>
  <c r="G190" i="7"/>
  <c r="K190" i="7"/>
  <c r="O190" i="7"/>
  <c r="S190" i="7"/>
  <c r="S194" i="7" s="1"/>
  <c r="W190" i="7"/>
  <c r="W194" i="7" s="1"/>
  <c r="AA190" i="7"/>
  <c r="AE190" i="7"/>
  <c r="G191" i="7"/>
  <c r="K191" i="7"/>
  <c r="O191" i="7"/>
  <c r="S191" i="7"/>
  <c r="W191" i="7"/>
  <c r="AA191" i="7"/>
  <c r="AE191" i="7"/>
  <c r="G192" i="7"/>
  <c r="K192" i="7"/>
  <c r="O192" i="7"/>
  <c r="O194" i="7" s="1"/>
  <c r="S192" i="7"/>
  <c r="W192" i="7"/>
  <c r="AA192" i="7"/>
  <c r="AE192" i="7"/>
  <c r="AE194" i="7" s="1"/>
  <c r="G193" i="7"/>
  <c r="K193" i="7"/>
  <c r="O193" i="7"/>
  <c r="S193" i="7"/>
  <c r="W193" i="7"/>
  <c r="AA193" i="7"/>
  <c r="AE193" i="7"/>
  <c r="D194" i="7"/>
  <c r="E194" i="7"/>
  <c r="F194" i="7"/>
  <c r="H194" i="7"/>
  <c r="I194" i="7"/>
  <c r="J194" i="7"/>
  <c r="L194" i="7"/>
  <c r="M194" i="7"/>
  <c r="N194" i="7"/>
  <c r="P194" i="7"/>
  <c r="Q194" i="7"/>
  <c r="R194" i="7"/>
  <c r="T194" i="7"/>
  <c r="U194" i="7"/>
  <c r="V194" i="7"/>
  <c r="X194" i="7"/>
  <c r="Y194" i="7"/>
  <c r="Z194" i="7"/>
  <c r="AB194" i="7"/>
  <c r="AC194" i="7"/>
  <c r="AD194" i="7"/>
  <c r="G195" i="7"/>
  <c r="AF195" i="7" s="1"/>
  <c r="K195" i="7"/>
  <c r="O195" i="7"/>
  <c r="S195" i="7"/>
  <c r="W195" i="7"/>
  <c r="W199" i="7" s="1"/>
  <c r="AA195" i="7"/>
  <c r="AE195" i="7"/>
  <c r="G196" i="7"/>
  <c r="AF196" i="7" s="1"/>
  <c r="K196" i="7"/>
  <c r="O196" i="7"/>
  <c r="S196" i="7"/>
  <c r="W196" i="7"/>
  <c r="AA196" i="7"/>
  <c r="AE196" i="7"/>
  <c r="G197" i="7"/>
  <c r="AF197" i="7" s="1"/>
  <c r="K197" i="7"/>
  <c r="O197" i="7"/>
  <c r="S197" i="7"/>
  <c r="W197" i="7"/>
  <c r="AA197" i="7"/>
  <c r="AE197" i="7"/>
  <c r="G198" i="7"/>
  <c r="AF198" i="7" s="1"/>
  <c r="K198" i="7"/>
  <c r="O198" i="7"/>
  <c r="S198" i="7"/>
  <c r="W198" i="7"/>
  <c r="AA198" i="7"/>
  <c r="AE198" i="7"/>
  <c r="D199" i="7"/>
  <c r="E199" i="7"/>
  <c r="F199" i="7"/>
  <c r="H199" i="7"/>
  <c r="I199" i="7"/>
  <c r="J199" i="7"/>
  <c r="K199" i="7"/>
  <c r="L199" i="7"/>
  <c r="L205" i="7" s="1"/>
  <c r="M199" i="7"/>
  <c r="N199" i="7"/>
  <c r="O199" i="7"/>
  <c r="P199" i="7"/>
  <c r="Q199" i="7"/>
  <c r="R199" i="7"/>
  <c r="S199" i="7"/>
  <c r="T199" i="7"/>
  <c r="T205" i="7" s="1"/>
  <c r="U199" i="7"/>
  <c r="V199" i="7"/>
  <c r="X199" i="7"/>
  <c r="Y199" i="7"/>
  <c r="Z199" i="7"/>
  <c r="AA199" i="7"/>
  <c r="AB199" i="7"/>
  <c r="AB205" i="7" s="1"/>
  <c r="AC199" i="7"/>
  <c r="AD199" i="7"/>
  <c r="AE199" i="7"/>
  <c r="G200" i="7"/>
  <c r="G204" i="7" s="1"/>
  <c r="K200" i="7"/>
  <c r="O200" i="7"/>
  <c r="S200" i="7"/>
  <c r="W200" i="7"/>
  <c r="W204" i="7" s="1"/>
  <c r="AA200" i="7"/>
  <c r="AE200" i="7"/>
  <c r="G201" i="7"/>
  <c r="K201" i="7"/>
  <c r="O201" i="7"/>
  <c r="S201" i="7"/>
  <c r="W201" i="7"/>
  <c r="AA201" i="7"/>
  <c r="AE201" i="7"/>
  <c r="G202" i="7"/>
  <c r="K202" i="7"/>
  <c r="O202" i="7"/>
  <c r="S202" i="7"/>
  <c r="W202" i="7"/>
  <c r="AA202" i="7"/>
  <c r="AE202" i="7"/>
  <c r="G203" i="7"/>
  <c r="K203" i="7"/>
  <c r="O203" i="7"/>
  <c r="S203" i="7"/>
  <c r="S204" i="7" s="1"/>
  <c r="W203" i="7"/>
  <c r="AA203" i="7"/>
  <c r="AE203" i="7"/>
  <c r="D204" i="7"/>
  <c r="E204" i="7"/>
  <c r="F204" i="7"/>
  <c r="H204" i="7"/>
  <c r="H205" i="7" s="1"/>
  <c r="I204" i="7"/>
  <c r="J204" i="7"/>
  <c r="J205" i="7" s="1"/>
  <c r="L204" i="7"/>
  <c r="M204" i="7"/>
  <c r="M205" i="7" s="1"/>
  <c r="N204" i="7"/>
  <c r="P204" i="7"/>
  <c r="Q204" i="7"/>
  <c r="Q205" i="7" s="1"/>
  <c r="R204" i="7"/>
  <c r="R205" i="7" s="1"/>
  <c r="T204" i="7"/>
  <c r="U204" i="7"/>
  <c r="U205" i="7" s="1"/>
  <c r="V204" i="7"/>
  <c r="V205" i="7" s="1"/>
  <c r="X204" i="7"/>
  <c r="Y204" i="7"/>
  <c r="Y205" i="7" s="1"/>
  <c r="Z204" i="7"/>
  <c r="Z205" i="7" s="1"/>
  <c r="AB204" i="7"/>
  <c r="AC204" i="7"/>
  <c r="AC205" i="7" s="1"/>
  <c r="AD204" i="7"/>
  <c r="AD205" i="7" s="1"/>
  <c r="E205" i="7"/>
  <c r="F205" i="7"/>
  <c r="P205" i="7"/>
  <c r="X205" i="7"/>
  <c r="G206" i="7"/>
  <c r="K206" i="7"/>
  <c r="O206" i="7"/>
  <c r="S206" i="7"/>
  <c r="W206" i="7"/>
  <c r="AA206" i="7"/>
  <c r="AE206" i="7"/>
  <c r="AE210" i="7" s="1"/>
  <c r="G207" i="7"/>
  <c r="K207" i="7"/>
  <c r="O207" i="7"/>
  <c r="S207" i="7"/>
  <c r="W207" i="7"/>
  <c r="AA207" i="7"/>
  <c r="AE207" i="7"/>
  <c r="G208" i="7"/>
  <c r="K208" i="7"/>
  <c r="O208" i="7"/>
  <c r="S208" i="7"/>
  <c r="W208" i="7"/>
  <c r="AA208" i="7"/>
  <c r="AE208" i="7"/>
  <c r="G209" i="7"/>
  <c r="K209" i="7"/>
  <c r="O209" i="7"/>
  <c r="S209" i="7"/>
  <c r="W209" i="7"/>
  <c r="AA209" i="7"/>
  <c r="AA210" i="7" s="1"/>
  <c r="AE209" i="7"/>
  <c r="D210" i="7"/>
  <c r="E210" i="7"/>
  <c r="F210" i="7"/>
  <c r="H210" i="7"/>
  <c r="I210" i="7"/>
  <c r="J210" i="7"/>
  <c r="K210" i="7"/>
  <c r="L210" i="7"/>
  <c r="M210" i="7"/>
  <c r="N210" i="7"/>
  <c r="O210" i="7"/>
  <c r="P210" i="7"/>
  <c r="Q210" i="7"/>
  <c r="R210" i="7"/>
  <c r="S210" i="7"/>
  <c r="T210" i="7"/>
  <c r="U210" i="7"/>
  <c r="V210" i="7"/>
  <c r="X210" i="7"/>
  <c r="Y210" i="7"/>
  <c r="Z210" i="7"/>
  <c r="AB210" i="7"/>
  <c r="AC210" i="7"/>
  <c r="AD210" i="7"/>
  <c r="G211" i="7"/>
  <c r="AF211" i="7" s="1"/>
  <c r="K211" i="7"/>
  <c r="O211" i="7"/>
  <c r="S211" i="7"/>
  <c r="W211" i="7"/>
  <c r="W215" i="7" s="1"/>
  <c r="AA211" i="7"/>
  <c r="AE211" i="7"/>
  <c r="G212" i="7"/>
  <c r="AF212" i="7" s="1"/>
  <c r="K212" i="7"/>
  <c r="O212" i="7"/>
  <c r="S212" i="7"/>
  <c r="W212" i="7"/>
  <c r="AA212" i="7"/>
  <c r="AE212" i="7"/>
  <c r="G213" i="7"/>
  <c r="AF213" i="7" s="1"/>
  <c r="K213" i="7"/>
  <c r="O213" i="7"/>
  <c r="S213" i="7"/>
  <c r="W213" i="7"/>
  <c r="AA213" i="7"/>
  <c r="AE213" i="7"/>
  <c r="G214" i="7"/>
  <c r="AF214" i="7" s="1"/>
  <c r="K214" i="7"/>
  <c r="O214" i="7"/>
  <c r="S214" i="7"/>
  <c r="W214" i="7"/>
  <c r="AA214" i="7"/>
  <c r="AE214" i="7"/>
  <c r="D215" i="7"/>
  <c r="E215" i="7"/>
  <c r="F215" i="7"/>
  <c r="H215" i="7"/>
  <c r="I215" i="7"/>
  <c r="J215" i="7"/>
  <c r="K215" i="7"/>
  <c r="L215" i="7"/>
  <c r="M215" i="7"/>
  <c r="N215" i="7"/>
  <c r="O215" i="7"/>
  <c r="P215" i="7"/>
  <c r="Q215" i="7"/>
  <c r="R215" i="7"/>
  <c r="S215" i="7"/>
  <c r="T215" i="7"/>
  <c r="U215" i="7"/>
  <c r="V215" i="7"/>
  <c r="X215" i="7"/>
  <c r="Y215" i="7"/>
  <c r="Z215" i="7"/>
  <c r="AA215" i="7"/>
  <c r="AB215" i="7"/>
  <c r="AC215" i="7"/>
  <c r="AD215" i="7"/>
  <c r="AE215" i="7"/>
  <c r="G216" i="7"/>
  <c r="G220" i="7" s="1"/>
  <c r="K216" i="7"/>
  <c r="O216" i="7"/>
  <c r="S216" i="7"/>
  <c r="S220" i="7" s="1"/>
  <c r="W216" i="7"/>
  <c r="W220" i="7" s="1"/>
  <c r="AA216" i="7"/>
  <c r="AE216" i="7"/>
  <c r="G217" i="7"/>
  <c r="K217" i="7"/>
  <c r="O217" i="7"/>
  <c r="S217" i="7"/>
  <c r="W217" i="7"/>
  <c r="AA217" i="7"/>
  <c r="AA220" i="7" s="1"/>
  <c r="AE217" i="7"/>
  <c r="G218" i="7"/>
  <c r="K218" i="7"/>
  <c r="O218" i="7"/>
  <c r="S218" i="7"/>
  <c r="W218" i="7"/>
  <c r="AA218" i="7"/>
  <c r="AE218" i="7"/>
  <c r="G219" i="7"/>
  <c r="K219" i="7"/>
  <c r="O219" i="7"/>
  <c r="S219" i="7"/>
  <c r="W219" i="7"/>
  <c r="AA219" i="7"/>
  <c r="AE219" i="7"/>
  <c r="D220" i="7"/>
  <c r="E220" i="7"/>
  <c r="F220" i="7"/>
  <c r="H220" i="7"/>
  <c r="I220" i="7"/>
  <c r="J220" i="7"/>
  <c r="L220" i="7"/>
  <c r="M220" i="7"/>
  <c r="N220" i="7"/>
  <c r="P220" i="7"/>
  <c r="Q220" i="7"/>
  <c r="R220" i="7"/>
  <c r="T220" i="7"/>
  <c r="U220" i="7"/>
  <c r="V220" i="7"/>
  <c r="X220" i="7"/>
  <c r="Y220" i="7"/>
  <c r="Z220" i="7"/>
  <c r="AB220" i="7"/>
  <c r="AC220" i="7"/>
  <c r="AD220" i="7"/>
  <c r="G221" i="7"/>
  <c r="K221" i="7"/>
  <c r="O221" i="7"/>
  <c r="S221" i="7"/>
  <c r="S225" i="7" s="1"/>
  <c r="W221" i="7"/>
  <c r="AA221" i="7"/>
  <c r="AE221" i="7"/>
  <c r="G222" i="7"/>
  <c r="K222" i="7"/>
  <c r="O222" i="7"/>
  <c r="S222" i="7"/>
  <c r="W222" i="7"/>
  <c r="AA222" i="7"/>
  <c r="AE222" i="7"/>
  <c r="G223" i="7"/>
  <c r="K223" i="7"/>
  <c r="O223" i="7"/>
  <c r="S223" i="7"/>
  <c r="W223" i="7"/>
  <c r="AA223" i="7"/>
  <c r="AE223" i="7"/>
  <c r="G224" i="7"/>
  <c r="K224" i="7"/>
  <c r="O224" i="7"/>
  <c r="S224" i="7"/>
  <c r="W224" i="7"/>
  <c r="AA224" i="7"/>
  <c r="AE224" i="7"/>
  <c r="D225" i="7"/>
  <c r="E225" i="7"/>
  <c r="F225" i="7"/>
  <c r="H225" i="7"/>
  <c r="I225" i="7"/>
  <c r="J225" i="7"/>
  <c r="L225" i="7"/>
  <c r="M225" i="7"/>
  <c r="N225" i="7"/>
  <c r="P225" i="7"/>
  <c r="Q225" i="7"/>
  <c r="R225" i="7"/>
  <c r="T225" i="7"/>
  <c r="U225" i="7"/>
  <c r="V225" i="7"/>
  <c r="X225" i="7"/>
  <c r="Y225" i="7"/>
  <c r="Z225" i="7"/>
  <c r="AB225" i="7"/>
  <c r="AC225" i="7"/>
  <c r="AD225" i="7"/>
  <c r="G226" i="7"/>
  <c r="AF226" i="7" s="1"/>
  <c r="K226" i="7"/>
  <c r="K230" i="7" s="1"/>
  <c r="O226" i="7"/>
  <c r="S226" i="7"/>
  <c r="W226" i="7"/>
  <c r="W230" i="7" s="1"/>
  <c r="AA226" i="7"/>
  <c r="AA230" i="7" s="1"/>
  <c r="AE226" i="7"/>
  <c r="G227" i="7"/>
  <c r="AF227" i="7" s="1"/>
  <c r="K227" i="7"/>
  <c r="O227" i="7"/>
  <c r="S227" i="7"/>
  <c r="W227" i="7"/>
  <c r="AA227" i="7"/>
  <c r="AE227" i="7"/>
  <c r="G228" i="7"/>
  <c r="AF228" i="7" s="1"/>
  <c r="K228" i="7"/>
  <c r="O228" i="7"/>
  <c r="S228" i="7"/>
  <c r="W228" i="7"/>
  <c r="AA228" i="7"/>
  <c r="AE228" i="7"/>
  <c r="G229" i="7"/>
  <c r="AF229" i="7" s="1"/>
  <c r="K229" i="7"/>
  <c r="O229" i="7"/>
  <c r="S229" i="7"/>
  <c r="W229" i="7"/>
  <c r="AA229" i="7"/>
  <c r="AE229" i="7"/>
  <c r="D230" i="7"/>
  <c r="E230" i="7"/>
  <c r="F230" i="7"/>
  <c r="H230" i="7"/>
  <c r="I230" i="7"/>
  <c r="J230" i="7"/>
  <c r="L230" i="7"/>
  <c r="M230" i="7"/>
  <c r="N230" i="7"/>
  <c r="O230" i="7"/>
  <c r="P230" i="7"/>
  <c r="Q230" i="7"/>
  <c r="R230" i="7"/>
  <c r="S230" i="7"/>
  <c r="T230" i="7"/>
  <c r="U230" i="7"/>
  <c r="V230" i="7"/>
  <c r="X230" i="7"/>
  <c r="Y230" i="7"/>
  <c r="Z230" i="7"/>
  <c r="AB230" i="7"/>
  <c r="AC230" i="7"/>
  <c r="AD230" i="7"/>
  <c r="AE230" i="7"/>
  <c r="G231" i="7"/>
  <c r="G235" i="7" s="1"/>
  <c r="K231" i="7"/>
  <c r="K235" i="7" s="1"/>
  <c r="O231" i="7"/>
  <c r="S231" i="7"/>
  <c r="W231" i="7"/>
  <c r="W235" i="7" s="1"/>
  <c r="AA231" i="7"/>
  <c r="AA235" i="7" s="1"/>
  <c r="AE231" i="7"/>
  <c r="G232" i="7"/>
  <c r="K232" i="7"/>
  <c r="O232" i="7"/>
  <c r="S232" i="7"/>
  <c r="W232" i="7"/>
  <c r="AA232" i="7"/>
  <c r="AE232" i="7"/>
  <c r="G233" i="7"/>
  <c r="K233" i="7"/>
  <c r="O233" i="7"/>
  <c r="S233" i="7"/>
  <c r="S235" i="7" s="1"/>
  <c r="W233" i="7"/>
  <c r="AA233" i="7"/>
  <c r="AE233" i="7"/>
  <c r="G234" i="7"/>
  <c r="K234" i="7"/>
  <c r="O234" i="7"/>
  <c r="S234" i="7"/>
  <c r="W234" i="7"/>
  <c r="AA234" i="7"/>
  <c r="AE234" i="7"/>
  <c r="D235" i="7"/>
  <c r="E235" i="7"/>
  <c r="F235" i="7"/>
  <c r="H235" i="7"/>
  <c r="I235" i="7"/>
  <c r="J235" i="7"/>
  <c r="L235" i="7"/>
  <c r="M235" i="7"/>
  <c r="N235" i="7"/>
  <c r="P235" i="7"/>
  <c r="Q235" i="7"/>
  <c r="R235" i="7"/>
  <c r="T235" i="7"/>
  <c r="U235" i="7"/>
  <c r="V235" i="7"/>
  <c r="X235" i="7"/>
  <c r="Y235" i="7"/>
  <c r="Z235" i="7"/>
  <c r="AB235" i="7"/>
  <c r="AC235" i="7"/>
  <c r="AD235" i="7"/>
  <c r="G236" i="7"/>
  <c r="K236" i="7"/>
  <c r="O236" i="7"/>
  <c r="S236" i="7"/>
  <c r="S240" i="7" s="1"/>
  <c r="W236" i="7"/>
  <c r="AA236" i="7"/>
  <c r="AE236" i="7"/>
  <c r="G237" i="7"/>
  <c r="K237" i="7"/>
  <c r="O237" i="7"/>
  <c r="S237" i="7"/>
  <c r="W237" i="7"/>
  <c r="W240" i="7" s="1"/>
  <c r="AA237" i="7"/>
  <c r="AE237" i="7"/>
  <c r="G238" i="7"/>
  <c r="K238" i="7"/>
  <c r="O238" i="7"/>
  <c r="S238" i="7"/>
  <c r="W238" i="7"/>
  <c r="AA238" i="7"/>
  <c r="AE238" i="7"/>
  <c r="G239" i="7"/>
  <c r="K239" i="7"/>
  <c r="O239" i="7"/>
  <c r="S239" i="7"/>
  <c r="W239" i="7"/>
  <c r="AA239" i="7"/>
  <c r="AE239" i="7"/>
  <c r="D240" i="7"/>
  <c r="E240" i="7"/>
  <c r="F240" i="7"/>
  <c r="G240" i="7"/>
  <c r="H240" i="7"/>
  <c r="I240" i="7"/>
  <c r="J240" i="7"/>
  <c r="L240" i="7"/>
  <c r="M240" i="7"/>
  <c r="N240" i="7"/>
  <c r="P240" i="7"/>
  <c r="Q240" i="7"/>
  <c r="R240" i="7"/>
  <c r="T240" i="7"/>
  <c r="U240" i="7"/>
  <c r="V240" i="7"/>
  <c r="X240" i="7"/>
  <c r="Y240" i="7"/>
  <c r="Z240" i="7"/>
  <c r="AB240" i="7"/>
  <c r="AC240" i="7"/>
  <c r="AD240" i="7"/>
  <c r="G241" i="7"/>
  <c r="K241" i="7"/>
  <c r="O241" i="7"/>
  <c r="S241" i="7"/>
  <c r="S245" i="7" s="1"/>
  <c r="W241" i="7"/>
  <c r="AA241" i="7"/>
  <c r="AE241" i="7"/>
  <c r="G242" i="7"/>
  <c r="K242" i="7"/>
  <c r="O242" i="7"/>
  <c r="S242" i="7"/>
  <c r="W242" i="7"/>
  <c r="AA242" i="7"/>
  <c r="AE242" i="7"/>
  <c r="G243" i="7"/>
  <c r="K243" i="7"/>
  <c r="O243" i="7"/>
  <c r="S243" i="7"/>
  <c r="W243" i="7"/>
  <c r="AA243" i="7"/>
  <c r="AE243" i="7"/>
  <c r="G244" i="7"/>
  <c r="K244" i="7"/>
  <c r="O244" i="7"/>
  <c r="S244" i="7"/>
  <c r="W244" i="7"/>
  <c r="AA244" i="7"/>
  <c r="AE244" i="7"/>
  <c r="D245" i="7"/>
  <c r="E245" i="7"/>
  <c r="F245" i="7"/>
  <c r="H245" i="7"/>
  <c r="I245" i="7"/>
  <c r="J245" i="7"/>
  <c r="L245" i="7"/>
  <c r="M245" i="7"/>
  <c r="N245" i="7"/>
  <c r="P245" i="7"/>
  <c r="Q245" i="7"/>
  <c r="R245" i="7"/>
  <c r="T245" i="7"/>
  <c r="U245" i="7"/>
  <c r="V245" i="7"/>
  <c r="X245" i="7"/>
  <c r="Y245" i="7"/>
  <c r="Z245" i="7"/>
  <c r="AB245" i="7"/>
  <c r="AC245" i="7"/>
  <c r="AD245" i="7"/>
  <c r="G246" i="7"/>
  <c r="AF246" i="7" s="1"/>
  <c r="K246" i="7"/>
  <c r="K250" i="7" s="1"/>
  <c r="O246" i="7"/>
  <c r="S246" i="7"/>
  <c r="W246" i="7"/>
  <c r="AA246" i="7"/>
  <c r="AA250" i="7" s="1"/>
  <c r="AE246" i="7"/>
  <c r="G247" i="7"/>
  <c r="AF247" i="7" s="1"/>
  <c r="K247" i="7"/>
  <c r="O247" i="7"/>
  <c r="S247" i="7"/>
  <c r="W247" i="7"/>
  <c r="AA247" i="7"/>
  <c r="AE247" i="7"/>
  <c r="G248" i="7"/>
  <c r="AF248" i="7" s="1"/>
  <c r="K248" i="7"/>
  <c r="O248" i="7"/>
  <c r="S248" i="7"/>
  <c r="W248" i="7"/>
  <c r="W250" i="7" s="1"/>
  <c r="AA248" i="7"/>
  <c r="AE248" i="7"/>
  <c r="G249" i="7"/>
  <c r="AF249" i="7" s="1"/>
  <c r="K249" i="7"/>
  <c r="O249" i="7"/>
  <c r="S249" i="7"/>
  <c r="W249" i="7"/>
  <c r="AA249" i="7"/>
  <c r="AE249" i="7"/>
  <c r="D250" i="7"/>
  <c r="E250" i="7"/>
  <c r="F250" i="7"/>
  <c r="H250" i="7"/>
  <c r="I250" i="7"/>
  <c r="J250" i="7"/>
  <c r="L250" i="7"/>
  <c r="M250" i="7"/>
  <c r="N250" i="7"/>
  <c r="O250" i="7"/>
  <c r="P250" i="7"/>
  <c r="Q250" i="7"/>
  <c r="R250" i="7"/>
  <c r="S250" i="7"/>
  <c r="T250" i="7"/>
  <c r="U250" i="7"/>
  <c r="V250" i="7"/>
  <c r="X250" i="7"/>
  <c r="Y250" i="7"/>
  <c r="Z250" i="7"/>
  <c r="AB250" i="7"/>
  <c r="AC250" i="7"/>
  <c r="AD250" i="7"/>
  <c r="AE250" i="7"/>
  <c r="G251" i="7"/>
  <c r="K251" i="7"/>
  <c r="K255" i="7" s="1"/>
  <c r="O251" i="7"/>
  <c r="S251" i="7"/>
  <c r="W251" i="7"/>
  <c r="AA251" i="7"/>
  <c r="AA255" i="7" s="1"/>
  <c r="AE251" i="7"/>
  <c r="G252" i="7"/>
  <c r="K252" i="7"/>
  <c r="O252" i="7"/>
  <c r="S252" i="7"/>
  <c r="W252" i="7"/>
  <c r="AA252" i="7"/>
  <c r="AE252" i="7"/>
  <c r="G253" i="7"/>
  <c r="K253" i="7"/>
  <c r="O253" i="7"/>
  <c r="S253" i="7"/>
  <c r="W253" i="7"/>
  <c r="AA253" i="7"/>
  <c r="AE253" i="7"/>
  <c r="G254" i="7"/>
  <c r="K254" i="7"/>
  <c r="O254" i="7"/>
  <c r="S254" i="7"/>
  <c r="W254" i="7"/>
  <c r="AA254" i="7"/>
  <c r="AE254" i="7"/>
  <c r="D255" i="7"/>
  <c r="E255" i="7"/>
  <c r="F255" i="7"/>
  <c r="H255" i="7"/>
  <c r="I255" i="7"/>
  <c r="J255" i="7"/>
  <c r="L255" i="7"/>
  <c r="M255" i="7"/>
  <c r="N255" i="7"/>
  <c r="P255" i="7"/>
  <c r="Q255" i="7"/>
  <c r="R255" i="7"/>
  <c r="S255" i="7"/>
  <c r="T255" i="7"/>
  <c r="U255" i="7"/>
  <c r="V255" i="7"/>
  <c r="X255" i="7"/>
  <c r="Y255" i="7"/>
  <c r="Z255" i="7"/>
  <c r="AB255" i="7"/>
  <c r="AC255" i="7"/>
  <c r="AD255" i="7"/>
  <c r="G256" i="7"/>
  <c r="G260" i="7" s="1"/>
  <c r="K256" i="7"/>
  <c r="O256" i="7"/>
  <c r="S256" i="7"/>
  <c r="W256" i="7"/>
  <c r="AA256" i="7"/>
  <c r="AA260" i="7" s="1"/>
  <c r="AE256" i="7"/>
  <c r="G257" i="7"/>
  <c r="K257" i="7"/>
  <c r="O257" i="7"/>
  <c r="O260" i="7" s="1"/>
  <c r="S257" i="7"/>
  <c r="W257" i="7"/>
  <c r="AA257" i="7"/>
  <c r="AE257" i="7"/>
  <c r="G258" i="7"/>
  <c r="K258" i="7"/>
  <c r="O258" i="7"/>
  <c r="S258" i="7"/>
  <c r="S260" i="7" s="1"/>
  <c r="W258" i="7"/>
  <c r="AA258" i="7"/>
  <c r="AE258" i="7"/>
  <c r="G259" i="7"/>
  <c r="K259" i="7"/>
  <c r="O259" i="7"/>
  <c r="S259" i="7"/>
  <c r="W259" i="7"/>
  <c r="W260" i="7" s="1"/>
  <c r="AA259" i="7"/>
  <c r="AE259" i="7"/>
  <c r="D260" i="7"/>
  <c r="E260" i="7"/>
  <c r="E266" i="7" s="1"/>
  <c r="F260" i="7"/>
  <c r="H260" i="7"/>
  <c r="I260" i="7"/>
  <c r="J260" i="7"/>
  <c r="L260" i="7"/>
  <c r="M260" i="7"/>
  <c r="N260" i="7"/>
  <c r="P260" i="7"/>
  <c r="Q260" i="7"/>
  <c r="R260" i="7"/>
  <c r="T260" i="7"/>
  <c r="U260" i="7"/>
  <c r="V260" i="7"/>
  <c r="X260" i="7"/>
  <c r="Y260" i="7"/>
  <c r="Z260" i="7"/>
  <c r="AB260" i="7"/>
  <c r="AC260" i="7"/>
  <c r="AD260" i="7"/>
  <c r="AE260" i="7"/>
  <c r="G261" i="7"/>
  <c r="K261" i="7"/>
  <c r="O261" i="7"/>
  <c r="S261" i="7"/>
  <c r="S265" i="7" s="1"/>
  <c r="W261" i="7"/>
  <c r="AA261" i="7"/>
  <c r="AE261" i="7"/>
  <c r="G262" i="7"/>
  <c r="K262" i="7"/>
  <c r="O262" i="7"/>
  <c r="S262" i="7"/>
  <c r="W262" i="7"/>
  <c r="AA262" i="7"/>
  <c r="AE262" i="7"/>
  <c r="G263" i="7"/>
  <c r="K263" i="7"/>
  <c r="O263" i="7"/>
  <c r="S263" i="7"/>
  <c r="W263" i="7"/>
  <c r="AA263" i="7"/>
  <c r="AE263" i="7"/>
  <c r="G264" i="7"/>
  <c r="K264" i="7"/>
  <c r="O264" i="7"/>
  <c r="S264" i="7"/>
  <c r="W264" i="7"/>
  <c r="AA264" i="7"/>
  <c r="AE264" i="7"/>
  <c r="D265" i="7"/>
  <c r="D266" i="7" s="1"/>
  <c r="E265" i="7"/>
  <c r="F265" i="7"/>
  <c r="F266" i="7" s="1"/>
  <c r="H265" i="7"/>
  <c r="H266" i="7" s="1"/>
  <c r="I265" i="7"/>
  <c r="J265" i="7"/>
  <c r="J266" i="7" s="1"/>
  <c r="L265" i="7"/>
  <c r="M265" i="7"/>
  <c r="M266" i="7" s="1"/>
  <c r="N265" i="7"/>
  <c r="P265" i="7"/>
  <c r="Q265" i="7"/>
  <c r="Q266" i="7" s="1"/>
  <c r="R265" i="7"/>
  <c r="R266" i="7" s="1"/>
  <c r="T265" i="7"/>
  <c r="T266" i="7" s="1"/>
  <c r="U265" i="7"/>
  <c r="V265" i="7"/>
  <c r="V266" i="7" s="1"/>
  <c r="X265" i="7"/>
  <c r="X266" i="7" s="1"/>
  <c r="Y265" i="7"/>
  <c r="Y266" i="7" s="1"/>
  <c r="Z265" i="7"/>
  <c r="AB265" i="7"/>
  <c r="AC265" i="7"/>
  <c r="AC266" i="7" s="1"/>
  <c r="AD265" i="7"/>
  <c r="AD266" i="7" s="1"/>
  <c r="L266" i="7"/>
  <c r="P266" i="7"/>
  <c r="U266" i="7"/>
  <c r="AB266" i="7"/>
  <c r="G267" i="7"/>
  <c r="K267" i="7"/>
  <c r="O267" i="7"/>
  <c r="S267" i="7"/>
  <c r="W267" i="7"/>
  <c r="AA267" i="7"/>
  <c r="AE267" i="7"/>
  <c r="AF267" i="7"/>
  <c r="G268" i="7"/>
  <c r="K268" i="7"/>
  <c r="O268" i="7"/>
  <c r="S268" i="7"/>
  <c r="W268" i="7"/>
  <c r="AA268" i="7"/>
  <c r="AE268" i="7"/>
  <c r="AF268" i="7"/>
  <c r="G269" i="7"/>
  <c r="K269" i="7"/>
  <c r="O269" i="7"/>
  <c r="S269" i="7"/>
  <c r="W269" i="7"/>
  <c r="AA269" i="7"/>
  <c r="AE269" i="7"/>
  <c r="AF269" i="7"/>
  <c r="G270" i="7"/>
  <c r="K270" i="7"/>
  <c r="O270" i="7"/>
  <c r="S270" i="7"/>
  <c r="W270" i="7"/>
  <c r="AA270" i="7"/>
  <c r="AE270" i="7"/>
  <c r="AF270" i="7"/>
  <c r="D271" i="7"/>
  <c r="E271" i="7"/>
  <c r="F271" i="7"/>
  <c r="G271" i="7"/>
  <c r="H271" i="7"/>
  <c r="I271" i="7"/>
  <c r="J271" i="7"/>
  <c r="K271" i="7"/>
  <c r="L271" i="7"/>
  <c r="M271" i="7"/>
  <c r="N271" i="7"/>
  <c r="O271" i="7"/>
  <c r="P271" i="7"/>
  <c r="Q271" i="7"/>
  <c r="R271" i="7"/>
  <c r="S271" i="7"/>
  <c r="T271" i="7"/>
  <c r="U271" i="7"/>
  <c r="V271" i="7"/>
  <c r="W271" i="7"/>
  <c r="X271" i="7"/>
  <c r="Y271" i="7"/>
  <c r="Z271" i="7"/>
  <c r="AA271" i="7"/>
  <c r="AB271" i="7"/>
  <c r="AC271" i="7"/>
  <c r="AD271" i="7"/>
  <c r="AE271" i="7"/>
  <c r="G272" i="7"/>
  <c r="K272" i="7"/>
  <c r="O272" i="7"/>
  <c r="S272" i="7"/>
  <c r="S276" i="7" s="1"/>
  <c r="W272" i="7"/>
  <c r="AA272" i="7"/>
  <c r="AE272" i="7"/>
  <c r="G273" i="7"/>
  <c r="K273" i="7"/>
  <c r="O273" i="7"/>
  <c r="S273" i="7"/>
  <c r="W273" i="7"/>
  <c r="W276" i="7" s="1"/>
  <c r="AA273" i="7"/>
  <c r="AE273" i="7"/>
  <c r="G274" i="7"/>
  <c r="K274" i="7"/>
  <c r="O274" i="7"/>
  <c r="S274" i="7"/>
  <c r="W274" i="7"/>
  <c r="AA274" i="7"/>
  <c r="AA276" i="7" s="1"/>
  <c r="AE274" i="7"/>
  <c r="G275" i="7"/>
  <c r="K275" i="7"/>
  <c r="O275" i="7"/>
  <c r="S275" i="7"/>
  <c r="W275" i="7"/>
  <c r="AA275" i="7"/>
  <c r="AE275" i="7"/>
  <c r="D276" i="7"/>
  <c r="E276" i="7"/>
  <c r="F276" i="7"/>
  <c r="F277" i="7" s="1"/>
  <c r="G276" i="7"/>
  <c r="H276" i="7"/>
  <c r="I276" i="7"/>
  <c r="I277" i="7" s="1"/>
  <c r="J276" i="7"/>
  <c r="J277" i="7" s="1"/>
  <c r="K276" i="7"/>
  <c r="L276" i="7"/>
  <c r="M276" i="7"/>
  <c r="N276" i="7"/>
  <c r="N277" i="7" s="1"/>
  <c r="P276" i="7"/>
  <c r="Q276" i="7"/>
  <c r="R276" i="7"/>
  <c r="R277" i="7" s="1"/>
  <c r="T276" i="7"/>
  <c r="U276" i="7"/>
  <c r="V276" i="7"/>
  <c r="X276" i="7"/>
  <c r="X277" i="7" s="1"/>
  <c r="Y276" i="7"/>
  <c r="Y277" i="7" s="1"/>
  <c r="Z276" i="7"/>
  <c r="Z277" i="7" s="1"/>
  <c r="AB276" i="7"/>
  <c r="AB277" i="7" s="1"/>
  <c r="AC276" i="7"/>
  <c r="AD276" i="7"/>
  <c r="AD277" i="7" s="1"/>
  <c r="E277" i="7"/>
  <c r="H277" i="7"/>
  <c r="L277" i="7"/>
  <c r="M277" i="7"/>
  <c r="Q277" i="7"/>
  <c r="U277" i="7"/>
  <c r="V277" i="7"/>
  <c r="AC277" i="7"/>
  <c r="G278" i="7"/>
  <c r="K278" i="7"/>
  <c r="O278" i="7"/>
  <c r="S278" i="7"/>
  <c r="S282" i="7" s="1"/>
  <c r="W278" i="7"/>
  <c r="AA278" i="7"/>
  <c r="AE278" i="7"/>
  <c r="G279" i="7"/>
  <c r="K279" i="7"/>
  <c r="O279" i="7"/>
  <c r="S279" i="7"/>
  <c r="W279" i="7"/>
  <c r="AA279" i="7"/>
  <c r="AE279" i="7"/>
  <c r="G280" i="7"/>
  <c r="K280" i="7"/>
  <c r="O280" i="7"/>
  <c r="O282" i="7" s="1"/>
  <c r="S280" i="7"/>
  <c r="W280" i="7"/>
  <c r="AA280" i="7"/>
  <c r="AE280" i="7"/>
  <c r="G281" i="7"/>
  <c r="K281" i="7"/>
  <c r="O281" i="7"/>
  <c r="S281" i="7"/>
  <c r="W281" i="7"/>
  <c r="AA281" i="7"/>
  <c r="AE281" i="7"/>
  <c r="D282" i="7"/>
  <c r="E282" i="7"/>
  <c r="F282" i="7"/>
  <c r="H282" i="7"/>
  <c r="I282" i="7"/>
  <c r="J282" i="7"/>
  <c r="L282" i="7"/>
  <c r="M282" i="7"/>
  <c r="N282" i="7"/>
  <c r="P282" i="7"/>
  <c r="Q282" i="7"/>
  <c r="R282" i="7"/>
  <c r="T282" i="7"/>
  <c r="U282" i="7"/>
  <c r="V282" i="7"/>
  <c r="X282" i="7"/>
  <c r="Y282" i="7"/>
  <c r="Z282" i="7"/>
  <c r="AB282" i="7"/>
  <c r="AC282" i="7"/>
  <c r="AD282" i="7"/>
  <c r="AE282" i="7"/>
  <c r="G283" i="7"/>
  <c r="K283" i="7"/>
  <c r="O283" i="7"/>
  <c r="S283" i="7"/>
  <c r="W283" i="7"/>
  <c r="AA283" i="7"/>
  <c r="AE283" i="7"/>
  <c r="AF283" i="7"/>
  <c r="G284" i="7"/>
  <c r="K284" i="7"/>
  <c r="O284" i="7"/>
  <c r="S284" i="7"/>
  <c r="W284" i="7"/>
  <c r="AA284" i="7"/>
  <c r="AE284" i="7"/>
  <c r="AF284" i="7"/>
  <c r="G285" i="7"/>
  <c r="K285" i="7"/>
  <c r="O285" i="7"/>
  <c r="S285" i="7"/>
  <c r="W285" i="7"/>
  <c r="AA285" i="7"/>
  <c r="AE285" i="7"/>
  <c r="AF285" i="7"/>
  <c r="G286" i="7"/>
  <c r="K286" i="7"/>
  <c r="O286" i="7"/>
  <c r="S286" i="7"/>
  <c r="W286" i="7"/>
  <c r="AA286" i="7"/>
  <c r="AE286" i="7"/>
  <c r="AF286" i="7"/>
  <c r="D287" i="7"/>
  <c r="E287" i="7"/>
  <c r="F287" i="7"/>
  <c r="G287" i="7"/>
  <c r="H287" i="7"/>
  <c r="I287" i="7"/>
  <c r="J287" i="7"/>
  <c r="K287" i="7"/>
  <c r="L287" i="7"/>
  <c r="M287" i="7"/>
  <c r="N287" i="7"/>
  <c r="O287" i="7"/>
  <c r="P287" i="7"/>
  <c r="Q287" i="7"/>
  <c r="R287" i="7"/>
  <c r="S287" i="7"/>
  <c r="T287" i="7"/>
  <c r="U287" i="7"/>
  <c r="V287" i="7"/>
  <c r="W287" i="7"/>
  <c r="X287" i="7"/>
  <c r="Y287" i="7"/>
  <c r="Z287" i="7"/>
  <c r="AA287" i="7"/>
  <c r="AB287" i="7"/>
  <c r="AC287" i="7"/>
  <c r="AD287" i="7"/>
  <c r="AE287" i="7"/>
  <c r="G288" i="7"/>
  <c r="K288" i="7"/>
  <c r="O288" i="7"/>
  <c r="S288" i="7"/>
  <c r="S292" i="7" s="1"/>
  <c r="W288" i="7"/>
  <c r="AA288" i="7"/>
  <c r="AE288" i="7"/>
  <c r="G289" i="7"/>
  <c r="K289" i="7"/>
  <c r="O289" i="7"/>
  <c r="S289" i="7"/>
  <c r="W289" i="7"/>
  <c r="W292" i="7" s="1"/>
  <c r="AA289" i="7"/>
  <c r="AE289" i="7"/>
  <c r="G290" i="7"/>
  <c r="K290" i="7"/>
  <c r="O290" i="7"/>
  <c r="S290" i="7"/>
  <c r="W290" i="7"/>
  <c r="AA290" i="7"/>
  <c r="AA292" i="7" s="1"/>
  <c r="AE290" i="7"/>
  <c r="G291" i="7"/>
  <c r="K291" i="7"/>
  <c r="O291" i="7"/>
  <c r="S291" i="7"/>
  <c r="W291" i="7"/>
  <c r="AA291" i="7"/>
  <c r="AE291" i="7"/>
  <c r="D292" i="7"/>
  <c r="E292" i="7"/>
  <c r="F292" i="7"/>
  <c r="G292" i="7"/>
  <c r="H292" i="7"/>
  <c r="I292" i="7"/>
  <c r="J292" i="7"/>
  <c r="K292" i="7"/>
  <c r="L292" i="7"/>
  <c r="M292" i="7"/>
  <c r="N292" i="7"/>
  <c r="P292" i="7"/>
  <c r="Q292" i="7"/>
  <c r="R292" i="7"/>
  <c r="T292" i="7"/>
  <c r="U292" i="7"/>
  <c r="V292" i="7"/>
  <c r="X292" i="7"/>
  <c r="Y292" i="7"/>
  <c r="Z292" i="7"/>
  <c r="AB292" i="7"/>
  <c r="AC292" i="7"/>
  <c r="AD292" i="7"/>
  <c r="G293" i="7"/>
  <c r="K293" i="7"/>
  <c r="O293" i="7"/>
  <c r="S293" i="7"/>
  <c r="W293" i="7"/>
  <c r="AA293" i="7"/>
  <c r="AE293" i="7"/>
  <c r="G294" i="7"/>
  <c r="K294" i="7"/>
  <c r="O294" i="7"/>
  <c r="S294" i="7"/>
  <c r="W294" i="7"/>
  <c r="AA294" i="7"/>
  <c r="AE294" i="7"/>
  <c r="G295" i="7"/>
  <c r="K295" i="7"/>
  <c r="O295" i="7"/>
  <c r="S295" i="7"/>
  <c r="S297" i="7" s="1"/>
  <c r="W295" i="7"/>
  <c r="AA295" i="7"/>
  <c r="AE295" i="7"/>
  <c r="G296" i="7"/>
  <c r="K296" i="7"/>
  <c r="O296" i="7"/>
  <c r="S296" i="7"/>
  <c r="W296" i="7"/>
  <c r="AA296" i="7"/>
  <c r="AE296" i="7"/>
  <c r="D297" i="7"/>
  <c r="E297" i="7"/>
  <c r="F297" i="7"/>
  <c r="H297" i="7"/>
  <c r="I297" i="7"/>
  <c r="J297" i="7"/>
  <c r="L297" i="7"/>
  <c r="M297" i="7"/>
  <c r="N297" i="7"/>
  <c r="P297" i="7"/>
  <c r="Q297" i="7"/>
  <c r="R297" i="7"/>
  <c r="T297" i="7"/>
  <c r="U297" i="7"/>
  <c r="V297" i="7"/>
  <c r="X297" i="7"/>
  <c r="Y297" i="7"/>
  <c r="Z297" i="7"/>
  <c r="AB297" i="7"/>
  <c r="AC297" i="7"/>
  <c r="AD297" i="7"/>
  <c r="G298" i="7"/>
  <c r="K298" i="7"/>
  <c r="O298" i="7"/>
  <c r="S298" i="7"/>
  <c r="W298" i="7"/>
  <c r="AA298" i="7"/>
  <c r="AE298" i="7"/>
  <c r="AF298" i="7"/>
  <c r="G299" i="7"/>
  <c r="K299" i="7"/>
  <c r="O299" i="7"/>
  <c r="S299" i="7"/>
  <c r="W299" i="7"/>
  <c r="AA299" i="7"/>
  <c r="AE299" i="7"/>
  <c r="AF299" i="7"/>
  <c r="G300" i="7"/>
  <c r="K300" i="7"/>
  <c r="O300" i="7"/>
  <c r="S300" i="7"/>
  <c r="W300" i="7"/>
  <c r="AA300" i="7"/>
  <c r="AE300" i="7"/>
  <c r="AF300" i="7"/>
  <c r="G301" i="7"/>
  <c r="K301" i="7"/>
  <c r="O301" i="7"/>
  <c r="S301" i="7"/>
  <c r="W301" i="7"/>
  <c r="AA301" i="7"/>
  <c r="AE301" i="7"/>
  <c r="AF301" i="7"/>
  <c r="D302" i="7"/>
  <c r="E302" i="7"/>
  <c r="F302" i="7"/>
  <c r="G302" i="7"/>
  <c r="H302" i="7"/>
  <c r="I302" i="7"/>
  <c r="J302" i="7"/>
  <c r="K302" i="7"/>
  <c r="L302" i="7"/>
  <c r="M302" i="7"/>
  <c r="N302" i="7"/>
  <c r="O302" i="7"/>
  <c r="P302" i="7"/>
  <c r="Q302" i="7"/>
  <c r="R302" i="7"/>
  <c r="S302" i="7"/>
  <c r="T302" i="7"/>
  <c r="U302" i="7"/>
  <c r="V302" i="7"/>
  <c r="W302" i="7"/>
  <c r="X302" i="7"/>
  <c r="Y302" i="7"/>
  <c r="Z302" i="7"/>
  <c r="AA302" i="7"/>
  <c r="AB302" i="7"/>
  <c r="AC302" i="7"/>
  <c r="AD302" i="7"/>
  <c r="AE302" i="7"/>
  <c r="G303" i="7"/>
  <c r="K303" i="7"/>
  <c r="O303" i="7"/>
  <c r="S303" i="7"/>
  <c r="S307" i="7" s="1"/>
  <c r="W303" i="7"/>
  <c r="AA303" i="7"/>
  <c r="AE303" i="7"/>
  <c r="G304" i="7"/>
  <c r="K304" i="7"/>
  <c r="O304" i="7"/>
  <c r="S304" i="7"/>
  <c r="W304" i="7"/>
  <c r="W307" i="7" s="1"/>
  <c r="AA304" i="7"/>
  <c r="AE304" i="7"/>
  <c r="G305" i="7"/>
  <c r="K305" i="7"/>
  <c r="O305" i="7"/>
  <c r="S305" i="7"/>
  <c r="W305" i="7"/>
  <c r="AA305" i="7"/>
  <c r="AA307" i="7" s="1"/>
  <c r="AE305" i="7"/>
  <c r="G306" i="7"/>
  <c r="K306" i="7"/>
  <c r="O306" i="7"/>
  <c r="S306" i="7"/>
  <c r="W306" i="7"/>
  <c r="AA306" i="7"/>
  <c r="AE306" i="7"/>
  <c r="D307" i="7"/>
  <c r="E307" i="7"/>
  <c r="F307" i="7"/>
  <c r="G307" i="7"/>
  <c r="H307" i="7"/>
  <c r="I307" i="7"/>
  <c r="J307" i="7"/>
  <c r="K307" i="7"/>
  <c r="L307" i="7"/>
  <c r="M307" i="7"/>
  <c r="N307" i="7"/>
  <c r="P307" i="7"/>
  <c r="Q307" i="7"/>
  <c r="R307" i="7"/>
  <c r="T307" i="7"/>
  <c r="U307" i="7"/>
  <c r="V307" i="7"/>
  <c r="X307" i="7"/>
  <c r="Y307" i="7"/>
  <c r="Z307" i="7"/>
  <c r="AB307" i="7"/>
  <c r="AC307" i="7"/>
  <c r="AD307" i="7"/>
  <c r="G308" i="7"/>
  <c r="G312" i="7" s="1"/>
  <c r="K308" i="7"/>
  <c r="O308" i="7"/>
  <c r="S308" i="7"/>
  <c r="W308" i="7"/>
  <c r="AA308" i="7"/>
  <c r="AA312" i="7" s="1"/>
  <c r="AE308" i="7"/>
  <c r="G309" i="7"/>
  <c r="K309" i="7"/>
  <c r="O309" i="7"/>
  <c r="S309" i="7"/>
  <c r="W309" i="7"/>
  <c r="AA309" i="7"/>
  <c r="AE309" i="7"/>
  <c r="G310" i="7"/>
  <c r="K310" i="7"/>
  <c r="O310" i="7"/>
  <c r="S310" i="7"/>
  <c r="W310" i="7"/>
  <c r="AA310" i="7"/>
  <c r="AE310" i="7"/>
  <c r="G311" i="7"/>
  <c r="K311" i="7"/>
  <c r="O311" i="7"/>
  <c r="S311" i="7"/>
  <c r="W311" i="7"/>
  <c r="AA311" i="7"/>
  <c r="AE311" i="7"/>
  <c r="D312" i="7"/>
  <c r="E312" i="7"/>
  <c r="F312" i="7"/>
  <c r="H312" i="7"/>
  <c r="I312" i="7"/>
  <c r="J312" i="7"/>
  <c r="L312" i="7"/>
  <c r="M312" i="7"/>
  <c r="N312" i="7"/>
  <c r="P312" i="7"/>
  <c r="Q312" i="7"/>
  <c r="R312" i="7"/>
  <c r="S312" i="7"/>
  <c r="T312" i="7"/>
  <c r="U312" i="7"/>
  <c r="V312" i="7"/>
  <c r="W312" i="7"/>
  <c r="X312" i="7"/>
  <c r="Y312" i="7"/>
  <c r="Z312" i="7"/>
  <c r="AB312" i="7"/>
  <c r="AC312" i="7"/>
  <c r="AD312" i="7"/>
  <c r="G313" i="7"/>
  <c r="K313" i="7"/>
  <c r="K317" i="7" s="1"/>
  <c r="O313" i="7"/>
  <c r="S313" i="7"/>
  <c r="W313" i="7"/>
  <c r="AA313" i="7"/>
  <c r="AA317" i="7" s="1"/>
  <c r="AE313" i="7"/>
  <c r="G314" i="7"/>
  <c r="K314" i="7"/>
  <c r="O314" i="7"/>
  <c r="S314" i="7"/>
  <c r="W314" i="7"/>
  <c r="AA314" i="7"/>
  <c r="AE314" i="7"/>
  <c r="G315" i="7"/>
  <c r="K315" i="7"/>
  <c r="O315" i="7"/>
  <c r="S315" i="7"/>
  <c r="S317" i="7" s="1"/>
  <c r="W315" i="7"/>
  <c r="AA315" i="7"/>
  <c r="AE315" i="7"/>
  <c r="G316" i="7"/>
  <c r="K316" i="7"/>
  <c r="O316" i="7"/>
  <c r="S316" i="7"/>
  <c r="W316" i="7"/>
  <c r="AA316" i="7"/>
  <c r="AE316" i="7"/>
  <c r="D317" i="7"/>
  <c r="E317" i="7"/>
  <c r="F317" i="7"/>
  <c r="H317" i="7"/>
  <c r="I317" i="7"/>
  <c r="J317" i="7"/>
  <c r="L317" i="7"/>
  <c r="M317" i="7"/>
  <c r="N317" i="7"/>
  <c r="P317" i="7"/>
  <c r="Q317" i="7"/>
  <c r="R317" i="7"/>
  <c r="T317" i="7"/>
  <c r="U317" i="7"/>
  <c r="V317" i="7"/>
  <c r="X317" i="7"/>
  <c r="Y317" i="7"/>
  <c r="Z317" i="7"/>
  <c r="AB317" i="7"/>
  <c r="AC317" i="7"/>
  <c r="AD317" i="7"/>
  <c r="G318" i="7"/>
  <c r="K318" i="7"/>
  <c r="O318" i="7"/>
  <c r="S318" i="7"/>
  <c r="W318" i="7"/>
  <c r="AA318" i="7"/>
  <c r="AE318" i="7"/>
  <c r="AF318" i="7"/>
  <c r="G319" i="7"/>
  <c r="K319" i="7"/>
  <c r="O319" i="7"/>
  <c r="S319" i="7"/>
  <c r="W319" i="7"/>
  <c r="AA319" i="7"/>
  <c r="AE319" i="7"/>
  <c r="AF319" i="7"/>
  <c r="G320" i="7"/>
  <c r="K320" i="7"/>
  <c r="O320" i="7"/>
  <c r="S320" i="7"/>
  <c r="W320" i="7"/>
  <c r="AA320" i="7"/>
  <c r="AE320" i="7"/>
  <c r="AF320" i="7"/>
  <c r="G321" i="7"/>
  <c r="K321" i="7"/>
  <c r="O321" i="7"/>
  <c r="S321" i="7"/>
  <c r="W321" i="7"/>
  <c r="AA321" i="7"/>
  <c r="AE321" i="7"/>
  <c r="AF321" i="7"/>
  <c r="D322" i="7"/>
  <c r="E322" i="7"/>
  <c r="F322" i="7"/>
  <c r="G322" i="7"/>
  <c r="H322" i="7"/>
  <c r="I322" i="7"/>
  <c r="J322" i="7"/>
  <c r="K322" i="7"/>
  <c r="L322" i="7"/>
  <c r="M322" i="7"/>
  <c r="N322" i="7"/>
  <c r="O322" i="7"/>
  <c r="P322" i="7"/>
  <c r="Q322" i="7"/>
  <c r="R322" i="7"/>
  <c r="S322" i="7"/>
  <c r="T322" i="7"/>
  <c r="U322" i="7"/>
  <c r="V322" i="7"/>
  <c r="W322" i="7"/>
  <c r="X322" i="7"/>
  <c r="Y322" i="7"/>
  <c r="Z322" i="7"/>
  <c r="AA322" i="7"/>
  <c r="AB322" i="7"/>
  <c r="AC322" i="7"/>
  <c r="AD322" i="7"/>
  <c r="AE322" i="7"/>
  <c r="G323" i="7"/>
  <c r="K323" i="7"/>
  <c r="O323" i="7"/>
  <c r="S323" i="7"/>
  <c r="S327" i="7" s="1"/>
  <c r="W323" i="7"/>
  <c r="AA323" i="7"/>
  <c r="AE323" i="7"/>
  <c r="G324" i="7"/>
  <c r="K324" i="7"/>
  <c r="O324" i="7"/>
  <c r="S324" i="7"/>
  <c r="W324" i="7"/>
  <c r="AA324" i="7"/>
  <c r="AE324" i="7"/>
  <c r="G325" i="7"/>
  <c r="K325" i="7"/>
  <c r="K327" i="7" s="1"/>
  <c r="O325" i="7"/>
  <c r="S325" i="7"/>
  <c r="W325" i="7"/>
  <c r="AA325" i="7"/>
  <c r="AA327" i="7" s="1"/>
  <c r="AE325" i="7"/>
  <c r="G326" i="7"/>
  <c r="K326" i="7"/>
  <c r="O326" i="7"/>
  <c r="S326" i="7"/>
  <c r="W326" i="7"/>
  <c r="AA326" i="7"/>
  <c r="AE326" i="7"/>
  <c r="D327" i="7"/>
  <c r="E327" i="7"/>
  <c r="F327" i="7"/>
  <c r="H327" i="7"/>
  <c r="I327" i="7"/>
  <c r="J327" i="7"/>
  <c r="L327" i="7"/>
  <c r="M327" i="7"/>
  <c r="N327" i="7"/>
  <c r="P327" i="7"/>
  <c r="Q327" i="7"/>
  <c r="R327" i="7"/>
  <c r="T327" i="7"/>
  <c r="U327" i="7"/>
  <c r="V327" i="7"/>
  <c r="X327" i="7"/>
  <c r="Y327" i="7"/>
  <c r="Z327" i="7"/>
  <c r="AB327" i="7"/>
  <c r="AC327" i="7"/>
  <c r="AD327" i="7"/>
  <c r="G328" i="7"/>
  <c r="K328" i="7"/>
  <c r="O328" i="7"/>
  <c r="S328" i="7"/>
  <c r="S332" i="7" s="1"/>
  <c r="W328" i="7"/>
  <c r="AA328" i="7"/>
  <c r="AE328" i="7"/>
  <c r="AE332" i="7" s="1"/>
  <c r="G329" i="7"/>
  <c r="K329" i="7"/>
  <c r="O329" i="7"/>
  <c r="S329" i="7"/>
  <c r="W329" i="7"/>
  <c r="W332" i="7" s="1"/>
  <c r="AA329" i="7"/>
  <c r="AE329" i="7"/>
  <c r="G330" i="7"/>
  <c r="K330" i="7"/>
  <c r="O330" i="7"/>
  <c r="S330" i="7"/>
  <c r="W330" i="7"/>
  <c r="AA330" i="7"/>
  <c r="AE330" i="7"/>
  <c r="G331" i="7"/>
  <c r="K331" i="7"/>
  <c r="O331" i="7"/>
  <c r="O332" i="7" s="1"/>
  <c r="S331" i="7"/>
  <c r="W331" i="7"/>
  <c r="AA331" i="7"/>
  <c r="AE331" i="7"/>
  <c r="D332" i="7"/>
  <c r="E332" i="7"/>
  <c r="F332" i="7"/>
  <c r="G332" i="7"/>
  <c r="H332" i="7"/>
  <c r="I332" i="7"/>
  <c r="J332" i="7"/>
  <c r="L332" i="7"/>
  <c r="M332" i="7"/>
  <c r="N332" i="7"/>
  <c r="P332" i="7"/>
  <c r="Q332" i="7"/>
  <c r="R332" i="7"/>
  <c r="T332" i="7"/>
  <c r="U332" i="7"/>
  <c r="V332" i="7"/>
  <c r="X332" i="7"/>
  <c r="Y332" i="7"/>
  <c r="Z332" i="7"/>
  <c r="AB332" i="7"/>
  <c r="AC332" i="7"/>
  <c r="AD332" i="7"/>
  <c r="G333" i="7"/>
  <c r="K333" i="7"/>
  <c r="O333" i="7"/>
  <c r="S333" i="7"/>
  <c r="W333" i="7"/>
  <c r="AA333" i="7"/>
  <c r="AE333" i="7"/>
  <c r="G334" i="7"/>
  <c r="K334" i="7"/>
  <c r="O334" i="7"/>
  <c r="S334" i="7"/>
  <c r="W334" i="7"/>
  <c r="AA334" i="7"/>
  <c r="AE334" i="7"/>
  <c r="G335" i="7"/>
  <c r="K335" i="7"/>
  <c r="O335" i="7"/>
  <c r="S335" i="7"/>
  <c r="S337" i="7" s="1"/>
  <c r="W335" i="7"/>
  <c r="AA335" i="7"/>
  <c r="AE335" i="7"/>
  <c r="G336" i="7"/>
  <c r="K336" i="7"/>
  <c r="O336" i="7"/>
  <c r="S336" i="7"/>
  <c r="W336" i="7"/>
  <c r="AA336" i="7"/>
  <c r="AE336" i="7"/>
  <c r="D337" i="7"/>
  <c r="E337" i="7"/>
  <c r="F337" i="7"/>
  <c r="H337" i="7"/>
  <c r="I337" i="7"/>
  <c r="J337" i="7"/>
  <c r="L337" i="7"/>
  <c r="M337" i="7"/>
  <c r="N337" i="7"/>
  <c r="P337" i="7"/>
  <c r="Q337" i="7"/>
  <c r="R337" i="7"/>
  <c r="T337" i="7"/>
  <c r="U337" i="7"/>
  <c r="V337" i="7"/>
  <c r="X337" i="7"/>
  <c r="Y337" i="7"/>
  <c r="Z337" i="7"/>
  <c r="AB337" i="7"/>
  <c r="AC337" i="7"/>
  <c r="AD337" i="7"/>
  <c r="G338" i="7"/>
  <c r="K338" i="7"/>
  <c r="O338" i="7"/>
  <c r="O342" i="7" s="1"/>
  <c r="S338" i="7"/>
  <c r="S342" i="7" s="1"/>
  <c r="W338" i="7"/>
  <c r="AA338" i="7"/>
  <c r="AE338" i="7"/>
  <c r="G339" i="7"/>
  <c r="K339" i="7"/>
  <c r="O339" i="7"/>
  <c r="S339" i="7"/>
  <c r="W339" i="7"/>
  <c r="AA339" i="7"/>
  <c r="AE339" i="7"/>
  <c r="G340" i="7"/>
  <c r="K340" i="7"/>
  <c r="O340" i="7"/>
  <c r="S340" i="7"/>
  <c r="W340" i="7"/>
  <c r="AA340" i="7"/>
  <c r="AE340" i="7"/>
  <c r="G341" i="7"/>
  <c r="K341" i="7"/>
  <c r="O341" i="7"/>
  <c r="S341" i="7"/>
  <c r="W341" i="7"/>
  <c r="AA341" i="7"/>
  <c r="AE341" i="7"/>
  <c r="D342" i="7"/>
  <c r="E342" i="7"/>
  <c r="F342" i="7"/>
  <c r="H342" i="7"/>
  <c r="I342" i="7"/>
  <c r="J342" i="7"/>
  <c r="L342" i="7"/>
  <c r="M342" i="7"/>
  <c r="M348" i="7" s="1"/>
  <c r="N342" i="7"/>
  <c r="P342" i="7"/>
  <c r="Q342" i="7"/>
  <c r="Q348" i="7" s="1"/>
  <c r="R342" i="7"/>
  <c r="T342" i="7"/>
  <c r="U342" i="7"/>
  <c r="U348" i="7" s="1"/>
  <c r="V342" i="7"/>
  <c r="V348" i="7" s="1"/>
  <c r="X342" i="7"/>
  <c r="Y342" i="7"/>
  <c r="Z342" i="7"/>
  <c r="Z348" i="7" s="1"/>
  <c r="AB342" i="7"/>
  <c r="AC342" i="7"/>
  <c r="AD342" i="7"/>
  <c r="AE342" i="7"/>
  <c r="G343" i="7"/>
  <c r="K343" i="7"/>
  <c r="O343" i="7"/>
  <c r="S343" i="7"/>
  <c r="S347" i="7" s="1"/>
  <c r="W343" i="7"/>
  <c r="AA343" i="7"/>
  <c r="AE343" i="7"/>
  <c r="G344" i="7"/>
  <c r="K344" i="7"/>
  <c r="O344" i="7"/>
  <c r="S344" i="7"/>
  <c r="W344" i="7"/>
  <c r="W347" i="7" s="1"/>
  <c r="AA344" i="7"/>
  <c r="AE344" i="7"/>
  <c r="G345" i="7"/>
  <c r="K345" i="7"/>
  <c r="K347" i="7" s="1"/>
  <c r="O345" i="7"/>
  <c r="S345" i="7"/>
  <c r="W345" i="7"/>
  <c r="AA345" i="7"/>
  <c r="AA347" i="7" s="1"/>
  <c r="AE345" i="7"/>
  <c r="G346" i="7"/>
  <c r="K346" i="7"/>
  <c r="O346" i="7"/>
  <c r="O347" i="7" s="1"/>
  <c r="O348" i="7" s="1"/>
  <c r="S346" i="7"/>
  <c r="W346" i="7"/>
  <c r="AA346" i="7"/>
  <c r="AE346" i="7"/>
  <c r="AE347" i="7" s="1"/>
  <c r="AE348" i="7" s="1"/>
  <c r="D347" i="7"/>
  <c r="D348" i="7" s="1"/>
  <c r="E347" i="7"/>
  <c r="F347" i="7"/>
  <c r="H347" i="7"/>
  <c r="H348" i="7" s="1"/>
  <c r="I347" i="7"/>
  <c r="J347" i="7"/>
  <c r="L347" i="7"/>
  <c r="L348" i="7" s="1"/>
  <c r="M347" i="7"/>
  <c r="N347" i="7"/>
  <c r="P347" i="7"/>
  <c r="P348" i="7" s="1"/>
  <c r="Q347" i="7"/>
  <c r="R347" i="7"/>
  <c r="T347" i="7"/>
  <c r="T348" i="7" s="1"/>
  <c r="U347" i="7"/>
  <c r="V347" i="7"/>
  <c r="X347" i="7"/>
  <c r="X348" i="7" s="1"/>
  <c r="Y347" i="7"/>
  <c r="Z347" i="7"/>
  <c r="AB347" i="7"/>
  <c r="AB348" i="7" s="1"/>
  <c r="AC347" i="7"/>
  <c r="AD347" i="7"/>
  <c r="E348" i="7"/>
  <c r="F348" i="7"/>
  <c r="J348" i="7"/>
  <c r="N348" i="7"/>
  <c r="R348" i="7"/>
  <c r="AC348" i="7"/>
  <c r="AD348" i="7"/>
  <c r="G349" i="7"/>
  <c r="K349" i="7"/>
  <c r="O349" i="7"/>
  <c r="O353" i="7" s="1"/>
  <c r="S349" i="7"/>
  <c r="S353" i="7" s="1"/>
  <c r="W349" i="7"/>
  <c r="AA349" i="7"/>
  <c r="AE349" i="7"/>
  <c r="G350" i="7"/>
  <c r="K350" i="7"/>
  <c r="O350" i="7"/>
  <c r="S350" i="7"/>
  <c r="W350" i="7"/>
  <c r="AA350" i="7"/>
  <c r="AE350" i="7"/>
  <c r="G351" i="7"/>
  <c r="K351" i="7"/>
  <c r="O351" i="7"/>
  <c r="S351" i="7"/>
  <c r="W351" i="7"/>
  <c r="AA351" i="7"/>
  <c r="AE351" i="7"/>
  <c r="G352" i="7"/>
  <c r="K352" i="7"/>
  <c r="O352" i="7"/>
  <c r="S352" i="7"/>
  <c r="W352" i="7"/>
  <c r="AA352" i="7"/>
  <c r="AE352" i="7"/>
  <c r="D353" i="7"/>
  <c r="E353" i="7"/>
  <c r="E359" i="7" s="1"/>
  <c r="F353" i="7"/>
  <c r="F359" i="7" s="1"/>
  <c r="H353" i="7"/>
  <c r="I353" i="7"/>
  <c r="J353" i="7"/>
  <c r="L353" i="7"/>
  <c r="M353" i="7"/>
  <c r="N353" i="7"/>
  <c r="P353" i="7"/>
  <c r="Q353" i="7"/>
  <c r="R353" i="7"/>
  <c r="T353" i="7"/>
  <c r="U353" i="7"/>
  <c r="V353" i="7"/>
  <c r="X353" i="7"/>
  <c r="Y353" i="7"/>
  <c r="Z353" i="7"/>
  <c r="AB353" i="7"/>
  <c r="AB359" i="7" s="1"/>
  <c r="AC353" i="7"/>
  <c r="AD353" i="7"/>
  <c r="AE353" i="7"/>
  <c r="G354" i="7"/>
  <c r="K354" i="7"/>
  <c r="O354" i="7"/>
  <c r="S354" i="7"/>
  <c r="S358" i="7" s="1"/>
  <c r="S359" i="7" s="1"/>
  <c r="W354" i="7"/>
  <c r="W358" i="7" s="1"/>
  <c r="AA354" i="7"/>
  <c r="AE354" i="7"/>
  <c r="G355" i="7"/>
  <c r="K355" i="7"/>
  <c r="O355" i="7"/>
  <c r="S355" i="7"/>
  <c r="W355" i="7"/>
  <c r="AA355" i="7"/>
  <c r="AE355" i="7"/>
  <c r="G356" i="7"/>
  <c r="K356" i="7"/>
  <c r="O356" i="7"/>
  <c r="S356" i="7"/>
  <c r="W356" i="7"/>
  <c r="AA356" i="7"/>
  <c r="AE356" i="7"/>
  <c r="G357" i="7"/>
  <c r="K357" i="7"/>
  <c r="O357" i="7"/>
  <c r="S357" i="7"/>
  <c r="W357" i="7"/>
  <c r="AA357" i="7"/>
  <c r="AE357" i="7"/>
  <c r="D358" i="7"/>
  <c r="E358" i="7"/>
  <c r="F358" i="7"/>
  <c r="G358" i="7"/>
  <c r="H358" i="7"/>
  <c r="I358" i="7"/>
  <c r="J358" i="7"/>
  <c r="J359" i="7" s="1"/>
  <c r="L358" i="7"/>
  <c r="L359" i="7" s="1"/>
  <c r="M358" i="7"/>
  <c r="M359" i="7" s="1"/>
  <c r="N358" i="7"/>
  <c r="P358" i="7"/>
  <c r="Q358" i="7"/>
  <c r="Q359" i="7" s="1"/>
  <c r="R358" i="7"/>
  <c r="R359" i="7" s="1"/>
  <c r="T358" i="7"/>
  <c r="T359" i="7" s="1"/>
  <c r="U358" i="7"/>
  <c r="V358" i="7"/>
  <c r="X358" i="7"/>
  <c r="Y358" i="7"/>
  <c r="Y359" i="7" s="1"/>
  <c r="Z358" i="7"/>
  <c r="AB358" i="7"/>
  <c r="AC358" i="7"/>
  <c r="AC359" i="7" s="1"/>
  <c r="AD358" i="7"/>
  <c r="AD359" i="7" s="1"/>
  <c r="D359" i="7"/>
  <c r="H359" i="7"/>
  <c r="I359" i="7"/>
  <c r="N359" i="7"/>
  <c r="P359" i="7"/>
  <c r="V359" i="7"/>
  <c r="X359" i="7"/>
  <c r="G360" i="7"/>
  <c r="K360" i="7"/>
  <c r="K364" i="7" s="1"/>
  <c r="O360" i="7"/>
  <c r="S360" i="7"/>
  <c r="S364" i="7" s="1"/>
  <c r="W360" i="7"/>
  <c r="W364" i="7" s="1"/>
  <c r="AA360" i="7"/>
  <c r="AE360" i="7"/>
  <c r="G361" i="7"/>
  <c r="K361" i="7"/>
  <c r="O361" i="7"/>
  <c r="O364" i="7" s="1"/>
  <c r="S361" i="7"/>
  <c r="W361" i="7"/>
  <c r="AA361" i="7"/>
  <c r="AA364" i="7" s="1"/>
  <c r="AE361" i="7"/>
  <c r="G362" i="7"/>
  <c r="K362" i="7"/>
  <c r="O362" i="7"/>
  <c r="S362" i="7"/>
  <c r="W362" i="7"/>
  <c r="AA362" i="7"/>
  <c r="AE362" i="7"/>
  <c r="AE364" i="7" s="1"/>
  <c r="G363" i="7"/>
  <c r="K363" i="7"/>
  <c r="O363" i="7"/>
  <c r="S363" i="7"/>
  <c r="W363" i="7"/>
  <c r="AA363" i="7"/>
  <c r="AE363" i="7"/>
  <c r="D364" i="7"/>
  <c r="E364" i="7"/>
  <c r="F364" i="7"/>
  <c r="H364" i="7"/>
  <c r="I364" i="7"/>
  <c r="J364" i="7"/>
  <c r="L364" i="7"/>
  <c r="M364" i="7"/>
  <c r="N364" i="7"/>
  <c r="P364" i="7"/>
  <c r="Q364" i="7"/>
  <c r="R364" i="7"/>
  <c r="T364" i="7"/>
  <c r="U364" i="7"/>
  <c r="V364" i="7"/>
  <c r="X364" i="7"/>
  <c r="Y364" i="7"/>
  <c r="Z364" i="7"/>
  <c r="AB364" i="7"/>
  <c r="AC364" i="7"/>
  <c r="AD364" i="7"/>
  <c r="G365" i="7"/>
  <c r="K365" i="7"/>
  <c r="O365" i="7"/>
  <c r="AF365" i="7" s="1"/>
  <c r="S365" i="7"/>
  <c r="W365" i="7"/>
  <c r="AA365" i="7"/>
  <c r="AE365" i="7"/>
  <c r="AE369" i="7" s="1"/>
  <c r="G366" i="7"/>
  <c r="K366" i="7"/>
  <c r="O366" i="7"/>
  <c r="AF366" i="7" s="1"/>
  <c r="S366" i="7"/>
  <c r="W366" i="7"/>
  <c r="AA366" i="7"/>
  <c r="AE366" i="7"/>
  <c r="G367" i="7"/>
  <c r="K367" i="7"/>
  <c r="O367" i="7"/>
  <c r="AF367" i="7" s="1"/>
  <c r="S367" i="7"/>
  <c r="W367" i="7"/>
  <c r="AA367" i="7"/>
  <c r="AE367" i="7"/>
  <c r="G368" i="7"/>
  <c r="K368" i="7"/>
  <c r="O368" i="7"/>
  <c r="AF368" i="7" s="1"/>
  <c r="S368" i="7"/>
  <c r="W368" i="7"/>
  <c r="AA368" i="7"/>
  <c r="AE368" i="7"/>
  <c r="D369" i="7"/>
  <c r="E369" i="7"/>
  <c r="F369" i="7"/>
  <c r="G369" i="7"/>
  <c r="H369" i="7"/>
  <c r="I369" i="7"/>
  <c r="J369" i="7"/>
  <c r="K369" i="7"/>
  <c r="L369" i="7"/>
  <c r="M369" i="7"/>
  <c r="N369" i="7"/>
  <c r="P369" i="7"/>
  <c r="Q369" i="7"/>
  <c r="R369" i="7"/>
  <c r="S369" i="7"/>
  <c r="T369" i="7"/>
  <c r="U369" i="7"/>
  <c r="V369" i="7"/>
  <c r="W369" i="7"/>
  <c r="X369" i="7"/>
  <c r="Y369" i="7"/>
  <c r="Z369" i="7"/>
  <c r="AA369" i="7"/>
  <c r="AB369" i="7"/>
  <c r="AC369" i="7"/>
  <c r="AD369" i="7"/>
  <c r="G370" i="7"/>
  <c r="K370" i="7"/>
  <c r="O370" i="7"/>
  <c r="O374" i="7" s="1"/>
  <c r="S370" i="7"/>
  <c r="W370" i="7"/>
  <c r="AA370" i="7"/>
  <c r="AE370" i="7"/>
  <c r="AE374" i="7" s="1"/>
  <c r="G371" i="7"/>
  <c r="K371" i="7"/>
  <c r="O371" i="7"/>
  <c r="S371" i="7"/>
  <c r="S374" i="7" s="1"/>
  <c r="W371" i="7"/>
  <c r="W374" i="7" s="1"/>
  <c r="AA371" i="7"/>
  <c r="AE371" i="7"/>
  <c r="G372" i="7"/>
  <c r="G374" i="7" s="1"/>
  <c r="K372" i="7"/>
  <c r="O372" i="7"/>
  <c r="S372" i="7"/>
  <c r="W372" i="7"/>
  <c r="AA372" i="7"/>
  <c r="AE372" i="7"/>
  <c r="G373" i="7"/>
  <c r="K373" i="7"/>
  <c r="O373" i="7"/>
  <c r="S373" i="7"/>
  <c r="W373" i="7"/>
  <c r="AA373" i="7"/>
  <c r="AE373" i="7"/>
  <c r="D374" i="7"/>
  <c r="E374" i="7"/>
  <c r="F374" i="7"/>
  <c r="H374" i="7"/>
  <c r="I374" i="7"/>
  <c r="J374" i="7"/>
  <c r="L374" i="7"/>
  <c r="M374" i="7"/>
  <c r="N374" i="7"/>
  <c r="P374" i="7"/>
  <c r="Q374" i="7"/>
  <c r="R374" i="7"/>
  <c r="T374" i="7"/>
  <c r="U374" i="7"/>
  <c r="V374" i="7"/>
  <c r="X374" i="7"/>
  <c r="Y374" i="7"/>
  <c r="Z374" i="7"/>
  <c r="AB374" i="7"/>
  <c r="AC374" i="7"/>
  <c r="AD374" i="7"/>
  <c r="G375" i="7"/>
  <c r="K375" i="7"/>
  <c r="O375" i="7"/>
  <c r="S375" i="7"/>
  <c r="S379" i="7" s="1"/>
  <c r="W375" i="7"/>
  <c r="AA375" i="7"/>
  <c r="AE375" i="7"/>
  <c r="G376" i="7"/>
  <c r="K376" i="7"/>
  <c r="O376" i="7"/>
  <c r="S376" i="7"/>
  <c r="W376" i="7"/>
  <c r="AA376" i="7"/>
  <c r="AE376" i="7"/>
  <c r="G377" i="7"/>
  <c r="K377" i="7"/>
  <c r="O377" i="7"/>
  <c r="S377" i="7"/>
  <c r="W377" i="7"/>
  <c r="AA377" i="7"/>
  <c r="AE377" i="7"/>
  <c r="G378" i="7"/>
  <c r="K378" i="7"/>
  <c r="O378" i="7"/>
  <c r="S378" i="7"/>
  <c r="W378" i="7"/>
  <c r="AA378" i="7"/>
  <c r="AE378" i="7"/>
  <c r="D379" i="7"/>
  <c r="E379" i="7"/>
  <c r="F379" i="7"/>
  <c r="H379" i="7"/>
  <c r="I379" i="7"/>
  <c r="J379" i="7"/>
  <c r="L379" i="7"/>
  <c r="M379" i="7"/>
  <c r="N379" i="7"/>
  <c r="P379" i="7"/>
  <c r="Q379" i="7"/>
  <c r="R379" i="7"/>
  <c r="T379" i="7"/>
  <c r="U379" i="7"/>
  <c r="V379" i="7"/>
  <c r="X379" i="7"/>
  <c r="Y379" i="7"/>
  <c r="Z379" i="7"/>
  <c r="AB379" i="7"/>
  <c r="AC379" i="7"/>
  <c r="AD379" i="7"/>
  <c r="G380" i="7"/>
  <c r="AF380" i="7" s="1"/>
  <c r="K380" i="7"/>
  <c r="O380" i="7"/>
  <c r="S380" i="7"/>
  <c r="W380" i="7"/>
  <c r="W384" i="7" s="1"/>
  <c r="AA380" i="7"/>
  <c r="AE380" i="7"/>
  <c r="G381" i="7"/>
  <c r="AF381" i="7" s="1"/>
  <c r="K381" i="7"/>
  <c r="K384" i="7" s="1"/>
  <c r="O381" i="7"/>
  <c r="S381" i="7"/>
  <c r="W381" i="7"/>
  <c r="AA381" i="7"/>
  <c r="AE381" i="7"/>
  <c r="G382" i="7"/>
  <c r="AF382" i="7" s="1"/>
  <c r="K382" i="7"/>
  <c r="O382" i="7"/>
  <c r="S382" i="7"/>
  <c r="W382" i="7"/>
  <c r="AA382" i="7"/>
  <c r="AA384" i="7" s="1"/>
  <c r="AE382" i="7"/>
  <c r="G383" i="7"/>
  <c r="AF383" i="7" s="1"/>
  <c r="K383" i="7"/>
  <c r="O383" i="7"/>
  <c r="S383" i="7"/>
  <c r="W383" i="7"/>
  <c r="AA383" i="7"/>
  <c r="AE383" i="7"/>
  <c r="D384" i="7"/>
  <c r="E384" i="7"/>
  <c r="F384" i="7"/>
  <c r="H384" i="7"/>
  <c r="I384" i="7"/>
  <c r="J384" i="7"/>
  <c r="L384" i="7"/>
  <c r="M384" i="7"/>
  <c r="N384" i="7"/>
  <c r="O384" i="7"/>
  <c r="P384" i="7"/>
  <c r="Q384" i="7"/>
  <c r="R384" i="7"/>
  <c r="S384" i="7"/>
  <c r="T384" i="7"/>
  <c r="U384" i="7"/>
  <c r="V384" i="7"/>
  <c r="X384" i="7"/>
  <c r="Y384" i="7"/>
  <c r="Z384" i="7"/>
  <c r="AB384" i="7"/>
  <c r="AC384" i="7"/>
  <c r="AD384" i="7"/>
  <c r="AE384" i="7"/>
  <c r="G385" i="7"/>
  <c r="K385" i="7"/>
  <c r="K389" i="7" s="1"/>
  <c r="O385" i="7"/>
  <c r="S385" i="7"/>
  <c r="W385" i="7"/>
  <c r="W389" i="7" s="1"/>
  <c r="AA385" i="7"/>
  <c r="AE385" i="7"/>
  <c r="G386" i="7"/>
  <c r="K386" i="7"/>
  <c r="O386" i="7"/>
  <c r="S386" i="7"/>
  <c r="W386" i="7"/>
  <c r="AA386" i="7"/>
  <c r="AE386" i="7"/>
  <c r="G387" i="7"/>
  <c r="K387" i="7"/>
  <c r="O387" i="7"/>
  <c r="S387" i="7"/>
  <c r="W387" i="7"/>
  <c r="AA387" i="7"/>
  <c r="AE387" i="7"/>
  <c r="G388" i="7"/>
  <c r="K388" i="7"/>
  <c r="O388" i="7"/>
  <c r="S388" i="7"/>
  <c r="S389" i="7" s="1"/>
  <c r="W388" i="7"/>
  <c r="AA388" i="7"/>
  <c r="AE388" i="7"/>
  <c r="D389" i="7"/>
  <c r="D395" i="7" s="1"/>
  <c r="E389" i="7"/>
  <c r="F389" i="7"/>
  <c r="H389" i="7"/>
  <c r="I389" i="7"/>
  <c r="J389" i="7"/>
  <c r="L389" i="7"/>
  <c r="M389" i="7"/>
  <c r="N389" i="7"/>
  <c r="P389" i="7"/>
  <c r="Q389" i="7"/>
  <c r="R389" i="7"/>
  <c r="T389" i="7"/>
  <c r="U389" i="7"/>
  <c r="V389" i="7"/>
  <c r="X389" i="7"/>
  <c r="Y389" i="7"/>
  <c r="Z389" i="7"/>
  <c r="AA389" i="7"/>
  <c r="AB389" i="7"/>
  <c r="AC389" i="7"/>
  <c r="AD389" i="7"/>
  <c r="G390" i="7"/>
  <c r="G394" i="7" s="1"/>
  <c r="K390" i="7"/>
  <c r="K394" i="7" s="1"/>
  <c r="O390" i="7"/>
  <c r="S390" i="7"/>
  <c r="S394" i="7" s="1"/>
  <c r="S395" i="7" s="1"/>
  <c r="W390" i="7"/>
  <c r="W394" i="7" s="1"/>
  <c r="W395" i="7" s="1"/>
  <c r="AA390" i="7"/>
  <c r="AA394" i="7" s="1"/>
  <c r="AA395" i="7" s="1"/>
  <c r="AE390" i="7"/>
  <c r="G391" i="7"/>
  <c r="AF391" i="7" s="1"/>
  <c r="K391" i="7"/>
  <c r="O391" i="7"/>
  <c r="O394" i="7" s="1"/>
  <c r="S391" i="7"/>
  <c r="W391" i="7"/>
  <c r="AA391" i="7"/>
  <c r="AE391" i="7"/>
  <c r="AE394" i="7" s="1"/>
  <c r="G392" i="7"/>
  <c r="AF392" i="7" s="1"/>
  <c r="K392" i="7"/>
  <c r="O392" i="7"/>
  <c r="S392" i="7"/>
  <c r="W392" i="7"/>
  <c r="AA392" i="7"/>
  <c r="AE392" i="7"/>
  <c r="G393" i="7"/>
  <c r="AF393" i="7" s="1"/>
  <c r="K393" i="7"/>
  <c r="O393" i="7"/>
  <c r="S393" i="7"/>
  <c r="W393" i="7"/>
  <c r="AA393" i="7"/>
  <c r="AE393" i="7"/>
  <c r="D394" i="7"/>
  <c r="E394" i="7"/>
  <c r="E395" i="7" s="1"/>
  <c r="F394" i="7"/>
  <c r="H394" i="7"/>
  <c r="I394" i="7"/>
  <c r="I395" i="7" s="1"/>
  <c r="J394" i="7"/>
  <c r="J395" i="7" s="1"/>
  <c r="L394" i="7"/>
  <c r="M394" i="7"/>
  <c r="M395" i="7" s="1"/>
  <c r="N394" i="7"/>
  <c r="P394" i="7"/>
  <c r="Q394" i="7"/>
  <c r="Q395" i="7" s="1"/>
  <c r="R394" i="7"/>
  <c r="R395" i="7" s="1"/>
  <c r="T394" i="7"/>
  <c r="U394" i="7"/>
  <c r="U395" i="7" s="1"/>
  <c r="V394" i="7"/>
  <c r="X394" i="7"/>
  <c r="Y394" i="7"/>
  <c r="Y395" i="7" s="1"/>
  <c r="Z394" i="7"/>
  <c r="Z395" i="7" s="1"/>
  <c r="AB394" i="7"/>
  <c r="AC394" i="7"/>
  <c r="AC395" i="7" s="1"/>
  <c r="AD394" i="7"/>
  <c r="F395" i="7"/>
  <c r="H395" i="7"/>
  <c r="L395" i="7"/>
  <c r="N395" i="7"/>
  <c r="P395" i="7"/>
  <c r="T395" i="7"/>
  <c r="V395" i="7"/>
  <c r="X395" i="7"/>
  <c r="AB395" i="7"/>
  <c r="AD395" i="7"/>
  <c r="G396" i="7"/>
  <c r="K396" i="7"/>
  <c r="O396" i="7"/>
  <c r="S396" i="7"/>
  <c r="S400" i="7" s="1"/>
  <c r="W396" i="7"/>
  <c r="AA396" i="7"/>
  <c r="AE396" i="7"/>
  <c r="G397" i="7"/>
  <c r="G400" i="7" s="1"/>
  <c r="K397" i="7"/>
  <c r="O397" i="7"/>
  <c r="S397" i="7"/>
  <c r="W397" i="7"/>
  <c r="W400" i="7" s="1"/>
  <c r="AA397" i="7"/>
  <c r="AE397" i="7"/>
  <c r="G398" i="7"/>
  <c r="K398" i="7"/>
  <c r="O398" i="7"/>
  <c r="S398" i="7"/>
  <c r="W398" i="7"/>
  <c r="AA398" i="7"/>
  <c r="AA400" i="7" s="1"/>
  <c r="AE398" i="7"/>
  <c r="G399" i="7"/>
  <c r="K399" i="7"/>
  <c r="O399" i="7"/>
  <c r="S399" i="7"/>
  <c r="W399" i="7"/>
  <c r="AA399" i="7"/>
  <c r="AE399" i="7"/>
  <c r="AE400" i="7" s="1"/>
  <c r="D400" i="7"/>
  <c r="E400" i="7"/>
  <c r="F400" i="7"/>
  <c r="H400" i="7"/>
  <c r="I400" i="7"/>
  <c r="J400" i="7"/>
  <c r="L400" i="7"/>
  <c r="M400" i="7"/>
  <c r="N400" i="7"/>
  <c r="P400" i="7"/>
  <c r="Q400" i="7"/>
  <c r="R400" i="7"/>
  <c r="T400" i="7"/>
  <c r="U400" i="7"/>
  <c r="V400" i="7"/>
  <c r="X400" i="7"/>
  <c r="Y400" i="7"/>
  <c r="Z400" i="7"/>
  <c r="AB400" i="7"/>
  <c r="AC400" i="7"/>
  <c r="AD400" i="7"/>
  <c r="G401" i="7"/>
  <c r="K401" i="7"/>
  <c r="O401" i="7"/>
  <c r="O405" i="7" s="1"/>
  <c r="S401" i="7"/>
  <c r="S405" i="7" s="1"/>
  <c r="W401" i="7"/>
  <c r="AA401" i="7"/>
  <c r="AE401" i="7"/>
  <c r="AE405" i="7" s="1"/>
  <c r="G402" i="7"/>
  <c r="K402" i="7"/>
  <c r="O402" i="7"/>
  <c r="S402" i="7"/>
  <c r="W402" i="7"/>
  <c r="AA402" i="7"/>
  <c r="AE402" i="7"/>
  <c r="G403" i="7"/>
  <c r="K403" i="7"/>
  <c r="O403" i="7"/>
  <c r="S403" i="7"/>
  <c r="W403" i="7"/>
  <c r="AA403" i="7"/>
  <c r="AE403" i="7"/>
  <c r="G404" i="7"/>
  <c r="K404" i="7"/>
  <c r="O404" i="7"/>
  <c r="S404" i="7"/>
  <c r="W404" i="7"/>
  <c r="AA404" i="7"/>
  <c r="AE404" i="7"/>
  <c r="D405" i="7"/>
  <c r="E405" i="7"/>
  <c r="F405" i="7"/>
  <c r="H405" i="7"/>
  <c r="I405" i="7"/>
  <c r="J405" i="7"/>
  <c r="K405" i="7"/>
  <c r="L405" i="7"/>
  <c r="M405" i="7"/>
  <c r="N405" i="7"/>
  <c r="P405" i="7"/>
  <c r="Q405" i="7"/>
  <c r="R405" i="7"/>
  <c r="T405" i="7"/>
  <c r="U405" i="7"/>
  <c r="V405" i="7"/>
  <c r="X405" i="7"/>
  <c r="Y405" i="7"/>
  <c r="Z405" i="7"/>
  <c r="AB405" i="7"/>
  <c r="AC405" i="7"/>
  <c r="AC416" i="7" s="1"/>
  <c r="AD405" i="7"/>
  <c r="G406" i="7"/>
  <c r="K406" i="7"/>
  <c r="O406" i="7"/>
  <c r="S406" i="7"/>
  <c r="W406" i="7"/>
  <c r="AA406" i="7"/>
  <c r="AE406" i="7"/>
  <c r="AE410" i="7" s="1"/>
  <c r="G407" i="7"/>
  <c r="K407" i="7"/>
  <c r="O407" i="7"/>
  <c r="S407" i="7"/>
  <c r="W407" i="7"/>
  <c r="AA407" i="7"/>
  <c r="AE407" i="7"/>
  <c r="G408" i="7"/>
  <c r="K408" i="7"/>
  <c r="O408" i="7"/>
  <c r="S408" i="7"/>
  <c r="W408" i="7"/>
  <c r="AA408" i="7"/>
  <c r="AE408" i="7"/>
  <c r="G409" i="7"/>
  <c r="K409" i="7"/>
  <c r="O409" i="7"/>
  <c r="S409" i="7"/>
  <c r="W409" i="7"/>
  <c r="AA409" i="7"/>
  <c r="AE409" i="7"/>
  <c r="D410" i="7"/>
  <c r="E410" i="7"/>
  <c r="F410" i="7"/>
  <c r="G410" i="7"/>
  <c r="H410" i="7"/>
  <c r="I410" i="7"/>
  <c r="J410" i="7"/>
  <c r="K410" i="7"/>
  <c r="L410" i="7"/>
  <c r="M410" i="7"/>
  <c r="N410" i="7"/>
  <c r="P410" i="7"/>
  <c r="Q410" i="7"/>
  <c r="R410" i="7"/>
  <c r="S410" i="7"/>
  <c r="T410" i="7"/>
  <c r="U410" i="7"/>
  <c r="V410" i="7"/>
  <c r="W410" i="7"/>
  <c r="X410" i="7"/>
  <c r="Y410" i="7"/>
  <c r="Z410" i="7"/>
  <c r="AA410" i="7"/>
  <c r="AB410" i="7"/>
  <c r="AC410" i="7"/>
  <c r="AD410" i="7"/>
  <c r="G411" i="7"/>
  <c r="K411" i="7"/>
  <c r="O411" i="7"/>
  <c r="O415" i="7" s="1"/>
  <c r="S411" i="7"/>
  <c r="W411" i="7"/>
  <c r="AA411" i="7"/>
  <c r="AE411" i="7"/>
  <c r="AE415" i="7" s="1"/>
  <c r="AE416" i="7" s="1"/>
  <c r="G412" i="7"/>
  <c r="K412" i="7"/>
  <c r="O412" i="7"/>
  <c r="S412" i="7"/>
  <c r="W412" i="7"/>
  <c r="AA412" i="7"/>
  <c r="AE412" i="7"/>
  <c r="G413" i="7"/>
  <c r="K413" i="7"/>
  <c r="O413" i="7"/>
  <c r="S413" i="7"/>
  <c r="W413" i="7"/>
  <c r="AA413" i="7"/>
  <c r="AE413" i="7"/>
  <c r="G414" i="7"/>
  <c r="K414" i="7"/>
  <c r="O414" i="7"/>
  <c r="S414" i="7"/>
  <c r="W414" i="7"/>
  <c r="AA414" i="7"/>
  <c r="AE414" i="7"/>
  <c r="D415" i="7"/>
  <c r="D416" i="7" s="1"/>
  <c r="E415" i="7"/>
  <c r="F415" i="7"/>
  <c r="F416" i="7" s="1"/>
  <c r="H415" i="7"/>
  <c r="H416" i="7" s="1"/>
  <c r="I415" i="7"/>
  <c r="J415" i="7"/>
  <c r="L415" i="7"/>
  <c r="L416" i="7" s="1"/>
  <c r="M415" i="7"/>
  <c r="M416" i="7" s="1"/>
  <c r="N415" i="7"/>
  <c r="P415" i="7"/>
  <c r="Q415" i="7"/>
  <c r="Q416" i="7" s="1"/>
  <c r="R415" i="7"/>
  <c r="T415" i="7"/>
  <c r="U415" i="7"/>
  <c r="U416" i="7" s="1"/>
  <c r="V415" i="7"/>
  <c r="X415" i="7"/>
  <c r="Y415" i="7"/>
  <c r="Y416" i="7" s="1"/>
  <c r="Z415" i="7"/>
  <c r="AB415" i="7"/>
  <c r="AB416" i="7" s="1"/>
  <c r="AC415" i="7"/>
  <c r="AD415" i="7"/>
  <c r="E416" i="7"/>
  <c r="I416" i="7"/>
  <c r="G417" i="7"/>
  <c r="K417" i="7"/>
  <c r="O417" i="7"/>
  <c r="S417" i="7"/>
  <c r="W417" i="7"/>
  <c r="W421" i="7" s="1"/>
  <c r="AA417" i="7"/>
  <c r="AE417" i="7"/>
  <c r="G418" i="7"/>
  <c r="K418" i="7"/>
  <c r="O418" i="7"/>
  <c r="S418" i="7"/>
  <c r="W418" i="7"/>
  <c r="AA418" i="7"/>
  <c r="AE418" i="7"/>
  <c r="G419" i="7"/>
  <c r="K419" i="7"/>
  <c r="O419" i="7"/>
  <c r="S419" i="7"/>
  <c r="W419" i="7"/>
  <c r="AA419" i="7"/>
  <c r="AE419" i="7"/>
  <c r="G420" i="7"/>
  <c r="K420" i="7"/>
  <c r="O420" i="7"/>
  <c r="S420" i="7"/>
  <c r="S421" i="7" s="1"/>
  <c r="W420" i="7"/>
  <c r="AA420" i="7"/>
  <c r="AE420" i="7"/>
  <c r="D421" i="7"/>
  <c r="E421" i="7"/>
  <c r="F421" i="7"/>
  <c r="H421" i="7"/>
  <c r="I421" i="7"/>
  <c r="J421" i="7"/>
  <c r="L421" i="7"/>
  <c r="M421" i="7"/>
  <c r="N421" i="7"/>
  <c r="P421" i="7"/>
  <c r="Q421" i="7"/>
  <c r="R421" i="7"/>
  <c r="T421" i="7"/>
  <c r="U421" i="7"/>
  <c r="V421" i="7"/>
  <c r="X421" i="7"/>
  <c r="Y421" i="7"/>
  <c r="Z421" i="7"/>
  <c r="AA421" i="7"/>
  <c r="AB421" i="7"/>
  <c r="AC421" i="7"/>
  <c r="AD421" i="7"/>
  <c r="G422" i="7"/>
  <c r="K422" i="7"/>
  <c r="O422" i="7"/>
  <c r="S422" i="7"/>
  <c r="S426" i="7" s="1"/>
  <c r="W422" i="7"/>
  <c r="W426" i="7" s="1"/>
  <c r="AA422" i="7"/>
  <c r="AE422" i="7"/>
  <c r="G423" i="7"/>
  <c r="K423" i="7"/>
  <c r="O423" i="7"/>
  <c r="S423" i="7"/>
  <c r="W423" i="7"/>
  <c r="AA423" i="7"/>
  <c r="AE423" i="7"/>
  <c r="G424" i="7"/>
  <c r="AF424" i="7" s="1"/>
  <c r="K424" i="7"/>
  <c r="O424" i="7"/>
  <c r="O426" i="7" s="1"/>
  <c r="S424" i="7"/>
  <c r="W424" i="7"/>
  <c r="AA424" i="7"/>
  <c r="AE424" i="7"/>
  <c r="AE426" i="7" s="1"/>
  <c r="G425" i="7"/>
  <c r="K425" i="7"/>
  <c r="O425" i="7"/>
  <c r="S425" i="7"/>
  <c r="W425" i="7"/>
  <c r="AA425" i="7"/>
  <c r="AE425" i="7"/>
  <c r="D426" i="7"/>
  <c r="E426" i="7"/>
  <c r="F426" i="7"/>
  <c r="H426" i="7"/>
  <c r="I426" i="7"/>
  <c r="J426" i="7"/>
  <c r="L426" i="7"/>
  <c r="M426" i="7"/>
  <c r="N426" i="7"/>
  <c r="P426" i="7"/>
  <c r="Q426" i="7"/>
  <c r="R426" i="7"/>
  <c r="T426" i="7"/>
  <c r="U426" i="7"/>
  <c r="V426" i="7"/>
  <c r="X426" i="7"/>
  <c r="Y426" i="7"/>
  <c r="Z426" i="7"/>
  <c r="AB426" i="7"/>
  <c r="AC426" i="7"/>
  <c r="AD426" i="7"/>
  <c r="G427" i="7"/>
  <c r="K427" i="7"/>
  <c r="K431" i="7" s="1"/>
  <c r="O427" i="7"/>
  <c r="S427" i="7"/>
  <c r="W427" i="7"/>
  <c r="AA427" i="7"/>
  <c r="AA431" i="7" s="1"/>
  <c r="AE427" i="7"/>
  <c r="G428" i="7"/>
  <c r="K428" i="7"/>
  <c r="O428" i="7"/>
  <c r="S428" i="7"/>
  <c r="W428" i="7"/>
  <c r="AA428" i="7"/>
  <c r="AE428" i="7"/>
  <c r="G429" i="7"/>
  <c r="K429" i="7"/>
  <c r="O429" i="7"/>
  <c r="S429" i="7"/>
  <c r="W429" i="7"/>
  <c r="AA429" i="7"/>
  <c r="AE429" i="7"/>
  <c r="G430" i="7"/>
  <c r="K430" i="7"/>
  <c r="O430" i="7"/>
  <c r="S430" i="7"/>
  <c r="W430" i="7"/>
  <c r="AA430" i="7"/>
  <c r="AE430" i="7"/>
  <c r="D431" i="7"/>
  <c r="E431" i="7"/>
  <c r="F431" i="7"/>
  <c r="H431" i="7"/>
  <c r="I431" i="7"/>
  <c r="J431" i="7"/>
  <c r="L431" i="7"/>
  <c r="M431" i="7"/>
  <c r="N431" i="7"/>
  <c r="P431" i="7"/>
  <c r="Q431" i="7"/>
  <c r="R431" i="7"/>
  <c r="T431" i="7"/>
  <c r="U431" i="7"/>
  <c r="V431" i="7"/>
  <c r="X431" i="7"/>
  <c r="Y431" i="7"/>
  <c r="Z431" i="7"/>
  <c r="AB431" i="7"/>
  <c r="AC431" i="7"/>
  <c r="AD431" i="7"/>
  <c r="G432" i="7"/>
  <c r="G436" i="7" s="1"/>
  <c r="K432" i="7"/>
  <c r="O432" i="7"/>
  <c r="S432" i="7"/>
  <c r="W432" i="7"/>
  <c r="W436" i="7" s="1"/>
  <c r="AA432" i="7"/>
  <c r="AE432" i="7"/>
  <c r="G433" i="7"/>
  <c r="K433" i="7"/>
  <c r="O433" i="7"/>
  <c r="S433" i="7"/>
  <c r="W433" i="7"/>
  <c r="AA433" i="7"/>
  <c r="AE433" i="7"/>
  <c r="G434" i="7"/>
  <c r="K434" i="7"/>
  <c r="O434" i="7"/>
  <c r="O436" i="7" s="1"/>
  <c r="S434" i="7"/>
  <c r="W434" i="7"/>
  <c r="AA434" i="7"/>
  <c r="AE434" i="7"/>
  <c r="G435" i="7"/>
  <c r="K435" i="7"/>
  <c r="O435" i="7"/>
  <c r="S435" i="7"/>
  <c r="W435" i="7"/>
  <c r="AA435" i="7"/>
  <c r="AE435" i="7"/>
  <c r="D436" i="7"/>
  <c r="E436" i="7"/>
  <c r="F436" i="7"/>
  <c r="H436" i="7"/>
  <c r="I436" i="7"/>
  <c r="J436" i="7"/>
  <c r="L436" i="7"/>
  <c r="M436" i="7"/>
  <c r="N436" i="7"/>
  <c r="P436" i="7"/>
  <c r="Q436" i="7"/>
  <c r="R436" i="7"/>
  <c r="T436" i="7"/>
  <c r="U436" i="7"/>
  <c r="V436" i="7"/>
  <c r="X436" i="7"/>
  <c r="Y436" i="7"/>
  <c r="Z436" i="7"/>
  <c r="AB436" i="7"/>
  <c r="AC436" i="7"/>
  <c r="AD436" i="7"/>
  <c r="G437" i="7"/>
  <c r="K437" i="7"/>
  <c r="O437" i="7"/>
  <c r="O441" i="7" s="1"/>
  <c r="S437" i="7"/>
  <c r="W437" i="7"/>
  <c r="AA437" i="7"/>
  <c r="AE437" i="7"/>
  <c r="AE441" i="7" s="1"/>
  <c r="G438" i="7"/>
  <c r="K438" i="7"/>
  <c r="O438" i="7"/>
  <c r="S438" i="7"/>
  <c r="S441" i="7" s="1"/>
  <c r="W438" i="7"/>
  <c r="AA438" i="7"/>
  <c r="AE438" i="7"/>
  <c r="G439" i="7"/>
  <c r="K439" i="7"/>
  <c r="O439" i="7"/>
  <c r="S439" i="7"/>
  <c r="W439" i="7"/>
  <c r="AA439" i="7"/>
  <c r="AE439" i="7"/>
  <c r="G440" i="7"/>
  <c r="K440" i="7"/>
  <c r="O440" i="7"/>
  <c r="S440" i="7"/>
  <c r="W440" i="7"/>
  <c r="AA440" i="7"/>
  <c r="AA441" i="7" s="1"/>
  <c r="AE440" i="7"/>
  <c r="D441" i="7"/>
  <c r="E441" i="7"/>
  <c r="F441" i="7"/>
  <c r="H441" i="7"/>
  <c r="I441" i="7"/>
  <c r="J441" i="7"/>
  <c r="K441" i="7"/>
  <c r="L441" i="7"/>
  <c r="M441" i="7"/>
  <c r="N441" i="7"/>
  <c r="P441" i="7"/>
  <c r="Q441" i="7"/>
  <c r="R441" i="7"/>
  <c r="T441" i="7"/>
  <c r="U441" i="7"/>
  <c r="V441" i="7"/>
  <c r="X441" i="7"/>
  <c r="Y441" i="7"/>
  <c r="Z441" i="7"/>
  <c r="AB441" i="7"/>
  <c r="AC441" i="7"/>
  <c r="AD441" i="7"/>
  <c r="G442" i="7"/>
  <c r="K442" i="7"/>
  <c r="O442" i="7"/>
  <c r="O446" i="7" s="1"/>
  <c r="S442" i="7"/>
  <c r="W442" i="7"/>
  <c r="AA442" i="7"/>
  <c r="AE442" i="7"/>
  <c r="AE446" i="7" s="1"/>
  <c r="G443" i="7"/>
  <c r="K443" i="7"/>
  <c r="O443" i="7"/>
  <c r="S443" i="7"/>
  <c r="W443" i="7"/>
  <c r="AA443" i="7"/>
  <c r="AE443" i="7"/>
  <c r="G444" i="7"/>
  <c r="AF444" i="7" s="1"/>
  <c r="K444" i="7"/>
  <c r="O444" i="7"/>
  <c r="S444" i="7"/>
  <c r="W444" i="7"/>
  <c r="AA444" i="7"/>
  <c r="AE444" i="7"/>
  <c r="G445" i="7"/>
  <c r="K445" i="7"/>
  <c r="O445" i="7"/>
  <c r="S445" i="7"/>
  <c r="W445" i="7"/>
  <c r="AA445" i="7"/>
  <c r="AE445" i="7"/>
  <c r="D446" i="7"/>
  <c r="E446" i="7"/>
  <c r="F446" i="7"/>
  <c r="H446" i="7"/>
  <c r="I446" i="7"/>
  <c r="J446" i="7"/>
  <c r="L446" i="7"/>
  <c r="M446" i="7"/>
  <c r="N446" i="7"/>
  <c r="P446" i="7"/>
  <c r="Q446" i="7"/>
  <c r="R446" i="7"/>
  <c r="S446" i="7"/>
  <c r="T446" i="7"/>
  <c r="U446" i="7"/>
  <c r="V446" i="7"/>
  <c r="X446" i="7"/>
  <c r="Y446" i="7"/>
  <c r="Z446" i="7"/>
  <c r="AB446" i="7"/>
  <c r="AC446" i="7"/>
  <c r="AD446" i="7"/>
  <c r="AF445" i="7" l="1"/>
  <c r="W446" i="7"/>
  <c r="AF443" i="7"/>
  <c r="AF429" i="7"/>
  <c r="S431" i="7"/>
  <c r="K421" i="7"/>
  <c r="Z416" i="7"/>
  <c r="AF409" i="7"/>
  <c r="AA405" i="7"/>
  <c r="K395" i="7"/>
  <c r="S348" i="7"/>
  <c r="AF439" i="7"/>
  <c r="AF433" i="7"/>
  <c r="AF430" i="7"/>
  <c r="AF417" i="7"/>
  <c r="AF406" i="7"/>
  <c r="O410" i="7"/>
  <c r="AF394" i="7"/>
  <c r="AA446" i="7"/>
  <c r="K446" i="7"/>
  <c r="AF440" i="7"/>
  <c r="AF434" i="7"/>
  <c r="S436" i="7"/>
  <c r="AF425" i="7"/>
  <c r="AA426" i="7"/>
  <c r="K426" i="7"/>
  <c r="S415" i="7"/>
  <c r="S416" i="7" s="1"/>
  <c r="AF407" i="7"/>
  <c r="AF442" i="7"/>
  <c r="G446" i="7"/>
  <c r="AF446" i="7" s="1"/>
  <c r="W441" i="7"/>
  <c r="AF437" i="7"/>
  <c r="AE436" i="7"/>
  <c r="G426" i="7"/>
  <c r="AF426" i="7" s="1"/>
  <c r="AF422" i="7"/>
  <c r="AF413" i="7"/>
  <c r="O416" i="7"/>
  <c r="AF408" i="7"/>
  <c r="AF403" i="7"/>
  <c r="AF399" i="7"/>
  <c r="O400" i="7"/>
  <c r="AF398" i="7"/>
  <c r="K400" i="7"/>
  <c r="AF400" i="7"/>
  <c r="S266" i="7"/>
  <c r="AF385" i="7"/>
  <c r="AF373" i="7"/>
  <c r="AF360" i="7"/>
  <c r="AF356" i="7"/>
  <c r="U359" i="7"/>
  <c r="AF324" i="7"/>
  <c r="AF275" i="7"/>
  <c r="AF271" i="7"/>
  <c r="AF256" i="7"/>
  <c r="AF254" i="7"/>
  <c r="AF238" i="7"/>
  <c r="AF232" i="7"/>
  <c r="AF217" i="7"/>
  <c r="AF208" i="7"/>
  <c r="AF201" i="7"/>
  <c r="D205" i="7"/>
  <c r="AF187" i="7"/>
  <c r="AF182" i="7"/>
  <c r="AF167" i="7"/>
  <c r="AF162" i="7"/>
  <c r="AF147" i="7"/>
  <c r="AF135" i="7"/>
  <c r="AF119" i="7"/>
  <c r="AF111" i="7"/>
  <c r="AF103" i="7"/>
  <c r="Y107" i="7"/>
  <c r="AF78" i="7"/>
  <c r="AM297" i="8"/>
  <c r="AF435" i="7"/>
  <c r="W431" i="7"/>
  <c r="AF427" i="7"/>
  <c r="AF423" i="7"/>
  <c r="AF418" i="7"/>
  <c r="AD416" i="7"/>
  <c r="T416" i="7"/>
  <c r="P416" i="7"/>
  <c r="J416" i="7"/>
  <c r="AF414" i="7"/>
  <c r="AA415" i="7"/>
  <c r="AA416" i="7" s="1"/>
  <c r="K415" i="7"/>
  <c r="K416" i="7" s="1"/>
  <c r="AF404" i="7"/>
  <c r="AF386" i="7"/>
  <c r="G384" i="7"/>
  <c r="AF384" i="7" s="1"/>
  <c r="AA374" i="7"/>
  <c r="AF370" i="7"/>
  <c r="AF361" i="7"/>
  <c r="AF357" i="7"/>
  <c r="AE358" i="7"/>
  <c r="AE359" i="7" s="1"/>
  <c r="O358" i="7"/>
  <c r="O359" i="7" s="1"/>
  <c r="Y348" i="7"/>
  <c r="AF340" i="7"/>
  <c r="W337" i="7"/>
  <c r="AF325" i="7"/>
  <c r="AE327" i="7"/>
  <c r="O327" i="7"/>
  <c r="AE276" i="7"/>
  <c r="AE277" i="7" s="1"/>
  <c r="AF272" i="7"/>
  <c r="Z266" i="7"/>
  <c r="AF257" i="7"/>
  <c r="W255" i="7"/>
  <c r="AF251" i="7"/>
  <c r="AF239" i="7"/>
  <c r="AE240" i="7"/>
  <c r="O240" i="7"/>
  <c r="AF233" i="7"/>
  <c r="AE225" i="7"/>
  <c r="O225" i="7"/>
  <c r="AF218" i="7"/>
  <c r="G215" i="7"/>
  <c r="AF215" i="7" s="1"/>
  <c r="AF209" i="7"/>
  <c r="AF202" i="7"/>
  <c r="G199" i="7"/>
  <c r="AF199" i="7" s="1"/>
  <c r="AF183" i="7"/>
  <c r="G179" i="7"/>
  <c r="AF179" i="7" s="1"/>
  <c r="AF163" i="7"/>
  <c r="G159" i="7"/>
  <c r="AF159" i="7" s="1"/>
  <c r="AB144" i="7"/>
  <c r="X144" i="7"/>
  <c r="AF136" i="7"/>
  <c r="AB128" i="7"/>
  <c r="X128" i="7"/>
  <c r="AF120" i="7"/>
  <c r="W112" i="7"/>
  <c r="AF104" i="7"/>
  <c r="AC107" i="7"/>
  <c r="I107" i="7"/>
  <c r="W50" i="7"/>
  <c r="G50" i="7"/>
  <c r="Z51" i="7"/>
  <c r="AE40" i="7"/>
  <c r="AM441" i="8"/>
  <c r="AM410" i="8"/>
  <c r="AM394" i="8"/>
  <c r="AF438" i="7"/>
  <c r="AA436" i="7"/>
  <c r="AF432" i="7"/>
  <c r="AF428" i="7"/>
  <c r="AF419" i="7"/>
  <c r="AE421" i="7"/>
  <c r="O421" i="7"/>
  <c r="X416" i="7"/>
  <c r="N416" i="7"/>
  <c r="W415" i="7"/>
  <c r="AF411" i="7"/>
  <c r="W405" i="7"/>
  <c r="AF401" i="7"/>
  <c r="AF396" i="7"/>
  <c r="AF387" i="7"/>
  <c r="AE389" i="7"/>
  <c r="AE395" i="7" s="1"/>
  <c r="O389" i="7"/>
  <c r="O395" i="7" s="1"/>
  <c r="AF371" i="7"/>
  <c r="AF362" i="7"/>
  <c r="AA358" i="7"/>
  <c r="AF354" i="7"/>
  <c r="AA282" i="7"/>
  <c r="K282" i="7"/>
  <c r="AF273" i="7"/>
  <c r="AF258" i="7"/>
  <c r="AF252" i="7"/>
  <c r="G250" i="7"/>
  <c r="AF250" i="7" s="1"/>
  <c r="AA245" i="7"/>
  <c r="K245" i="7"/>
  <c r="AA240" i="7"/>
  <c r="AF236" i="7"/>
  <c r="AF234" i="7"/>
  <c r="G230" i="7"/>
  <c r="AF230" i="7" s="1"/>
  <c r="AF219" i="7"/>
  <c r="AE220" i="7"/>
  <c r="O220" i="7"/>
  <c r="W210" i="7"/>
  <c r="AF206" i="7"/>
  <c r="AF203" i="7"/>
  <c r="AE204" i="7"/>
  <c r="AE205" i="7" s="1"/>
  <c r="O204" i="7"/>
  <c r="O205" i="7" s="1"/>
  <c r="W189" i="7"/>
  <c r="AE184" i="7"/>
  <c r="AF180" i="7"/>
  <c r="W169" i="7"/>
  <c r="AE164" i="7"/>
  <c r="AF160" i="7"/>
  <c r="W149" i="7"/>
  <c r="S144" i="7"/>
  <c r="O144" i="7"/>
  <c r="G143" i="7"/>
  <c r="AF137" i="7"/>
  <c r="AE128" i="7"/>
  <c r="S128" i="7"/>
  <c r="O128" i="7"/>
  <c r="G127" i="7"/>
  <c r="AF121" i="7"/>
  <c r="AF105" i="7"/>
  <c r="M107" i="7"/>
  <c r="AA96" i="7"/>
  <c r="AF90" i="7"/>
  <c r="AA81" i="7"/>
  <c r="K81" i="7"/>
  <c r="AA66" i="7"/>
  <c r="AF58" i="7"/>
  <c r="K56" i="7"/>
  <c r="S50" i="7"/>
  <c r="W416" i="8"/>
  <c r="W395" i="8"/>
  <c r="AE431" i="7"/>
  <c r="O431" i="7"/>
  <c r="AF420" i="7"/>
  <c r="V416" i="7"/>
  <c r="R416" i="7"/>
  <c r="AF412" i="7"/>
  <c r="AF410" i="7"/>
  <c r="AF402" i="7"/>
  <c r="AF397" i="7"/>
  <c r="AF390" i="7"/>
  <c r="AF388" i="7"/>
  <c r="AF372" i="7"/>
  <c r="O369" i="7"/>
  <c r="AF369" i="7" s="1"/>
  <c r="AF363" i="7"/>
  <c r="Z359" i="7"/>
  <c r="AF355" i="7"/>
  <c r="I348" i="7"/>
  <c r="W342" i="7"/>
  <c r="W348" i="7" s="1"/>
  <c r="AF338" i="7"/>
  <c r="W327" i="7"/>
  <c r="AE297" i="7"/>
  <c r="O297" i="7"/>
  <c r="AF274" i="7"/>
  <c r="T277" i="7"/>
  <c r="P277" i="7"/>
  <c r="D277" i="7"/>
  <c r="N266" i="7"/>
  <c r="I266" i="7"/>
  <c r="W265" i="7"/>
  <c r="W266" i="7" s="1"/>
  <c r="AF259" i="7"/>
  <c r="AF253" i="7"/>
  <c r="AE255" i="7"/>
  <c r="O255" i="7"/>
  <c r="AF237" i="7"/>
  <c r="AE235" i="7"/>
  <c r="AF231" i="7"/>
  <c r="AF216" i="7"/>
  <c r="AF207" i="7"/>
  <c r="N205" i="7"/>
  <c r="I205" i="7"/>
  <c r="AA204" i="7"/>
  <c r="AF200" i="7"/>
  <c r="AF181" i="7"/>
  <c r="AF161" i="7"/>
  <c r="D144" i="7"/>
  <c r="W138" i="7"/>
  <c r="AF134" i="7"/>
  <c r="D128" i="7"/>
  <c r="W122" i="7"/>
  <c r="AF118" i="7"/>
  <c r="W106" i="7"/>
  <c r="AF102" i="7"/>
  <c r="U107" i="7"/>
  <c r="Q107" i="7"/>
  <c r="W91" i="7"/>
  <c r="AF87" i="7"/>
  <c r="W81" i="7"/>
  <c r="AF77" i="7"/>
  <c r="AF59" i="7"/>
  <c r="S45" i="7"/>
  <c r="S51" i="7" s="1"/>
  <c r="AL416" i="8"/>
  <c r="R416" i="8"/>
  <c r="AB416" i="8"/>
  <c r="AL395" i="8"/>
  <c r="M359" i="8"/>
  <c r="AL277" i="8"/>
  <c r="AM443" i="8"/>
  <c r="AM439" i="8"/>
  <c r="AM435" i="8"/>
  <c r="AM431" i="8"/>
  <c r="AM427" i="8"/>
  <c r="AM424" i="8"/>
  <c r="AM420" i="8"/>
  <c r="AM412" i="8"/>
  <c r="AM408" i="8"/>
  <c r="AM404" i="8"/>
  <c r="AM400" i="8"/>
  <c r="AM396" i="8"/>
  <c r="AM392" i="8"/>
  <c r="AM388" i="8"/>
  <c r="AM384" i="8"/>
  <c r="AM380" i="8"/>
  <c r="AM376" i="8"/>
  <c r="AM372" i="8"/>
  <c r="AM368" i="8"/>
  <c r="AM364" i="8"/>
  <c r="AM360" i="8"/>
  <c r="AM357" i="8"/>
  <c r="P348" i="8"/>
  <c r="L348" i="8"/>
  <c r="AM333" i="8"/>
  <c r="AM321" i="8"/>
  <c r="AL322" i="8"/>
  <c r="R322" i="8"/>
  <c r="AL312" i="8"/>
  <c r="R312" i="8"/>
  <c r="AM309" i="8"/>
  <c r="AM304" i="8"/>
  <c r="AM301" i="8"/>
  <c r="AM293" i="8"/>
  <c r="AM289" i="8"/>
  <c r="AM285" i="8"/>
  <c r="AM281" i="8"/>
  <c r="E277" i="8"/>
  <c r="AM275" i="8"/>
  <c r="AM252" i="8"/>
  <c r="AM248" i="8"/>
  <c r="AM244" i="8"/>
  <c r="AM240" i="8"/>
  <c r="AM236" i="8"/>
  <c r="AM232" i="8"/>
  <c r="AM228" i="8"/>
  <c r="AM224" i="8"/>
  <c r="AM195" i="8"/>
  <c r="AM189" i="8"/>
  <c r="AM183" i="8"/>
  <c r="M184" i="8"/>
  <c r="AM179" i="8"/>
  <c r="AM138" i="8"/>
  <c r="H128" i="8"/>
  <c r="AD51" i="7"/>
  <c r="AA45" i="7"/>
  <c r="K45" i="7"/>
  <c r="AC40" i="7"/>
  <c r="AF28" i="7"/>
  <c r="K29" i="7"/>
  <c r="AM444" i="8"/>
  <c r="AM440" i="8"/>
  <c r="H436" i="8"/>
  <c r="AM436" i="8" s="1"/>
  <c r="AM432" i="8"/>
  <c r="AM428" i="8"/>
  <c r="AM425" i="8"/>
  <c r="H421" i="8"/>
  <c r="AM421" i="8" s="1"/>
  <c r="AM417" i="8"/>
  <c r="AM413" i="8"/>
  <c r="AM409" i="8"/>
  <c r="H405" i="8"/>
  <c r="AM405" i="8" s="1"/>
  <c r="AM401" i="8"/>
  <c r="AM397" i="8"/>
  <c r="AM393" i="8"/>
  <c r="H389" i="8"/>
  <c r="AM389" i="8" s="1"/>
  <c r="AM385" i="8"/>
  <c r="AM381" i="8"/>
  <c r="AM377" i="8"/>
  <c r="AM373" i="8"/>
  <c r="H369" i="8"/>
  <c r="AM369" i="8" s="1"/>
  <c r="AM365" i="8"/>
  <c r="AM361" i="8"/>
  <c r="H358" i="8"/>
  <c r="H359" i="8" s="1"/>
  <c r="X348" i="8"/>
  <c r="T348" i="8"/>
  <c r="AM334" i="8"/>
  <c r="AM318" i="8"/>
  <c r="AM310" i="8"/>
  <c r="AM305" i="8"/>
  <c r="AM298" i="8"/>
  <c r="AM294" i="8"/>
  <c r="AM290" i="8"/>
  <c r="AM286" i="8"/>
  <c r="AM282" i="8"/>
  <c r="AM278" i="8"/>
  <c r="M277" i="8"/>
  <c r="AM269" i="8"/>
  <c r="AM253" i="8"/>
  <c r="AM249" i="8"/>
  <c r="R245" i="8"/>
  <c r="AM245" i="8" s="1"/>
  <c r="AM241" i="8"/>
  <c r="AM237" i="8"/>
  <c r="AM233" i="8"/>
  <c r="AM229" i="8"/>
  <c r="AM225" i="8"/>
  <c r="AM221" i="8"/>
  <c r="AM207" i="8"/>
  <c r="M210" i="8"/>
  <c r="AM210" i="8" s="1"/>
  <c r="AG205" i="8"/>
  <c r="AM203" i="8"/>
  <c r="M204" i="8"/>
  <c r="M199" i="8"/>
  <c r="AM187" i="8"/>
  <c r="AL144" i="8"/>
  <c r="W61" i="7"/>
  <c r="AC51" i="7"/>
  <c r="N51" i="7"/>
  <c r="I51" i="7"/>
  <c r="W45" i="7"/>
  <c r="W51" i="7" s="1"/>
  <c r="AF41" i="7"/>
  <c r="D40" i="7"/>
  <c r="AA29" i="7"/>
  <c r="W29" i="7"/>
  <c r="AF25" i="7"/>
  <c r="AM445" i="8"/>
  <c r="AM437" i="8"/>
  <c r="AM433" i="8"/>
  <c r="AM429" i="8"/>
  <c r="AM422" i="8"/>
  <c r="AM418" i="8"/>
  <c r="AM414" i="8"/>
  <c r="AM406" i="8"/>
  <c r="AM402" i="8"/>
  <c r="AM398" i="8"/>
  <c r="AM390" i="8"/>
  <c r="AM386" i="8"/>
  <c r="AM382" i="8"/>
  <c r="AM378" i="8"/>
  <c r="H374" i="8"/>
  <c r="AM374" i="8" s="1"/>
  <c r="AM370" i="8"/>
  <c r="AM366" i="8"/>
  <c r="AM362" i="8"/>
  <c r="AL353" i="8"/>
  <c r="AL359" i="8" s="1"/>
  <c r="R353" i="8"/>
  <c r="R359" i="8" s="1"/>
  <c r="AB347" i="8"/>
  <c r="AJ348" i="8"/>
  <c r="AF348" i="8"/>
  <c r="AB342" i="8"/>
  <c r="AL342" i="8"/>
  <c r="AL348" i="8" s="1"/>
  <c r="R342" i="8"/>
  <c r="R348" i="8" s="1"/>
  <c r="AL332" i="8"/>
  <c r="R332" i="8"/>
  <c r="AM329" i="8"/>
  <c r="AM325" i="8"/>
  <c r="AL317" i="8"/>
  <c r="R317" i="8"/>
  <c r="AM313" i="8"/>
  <c r="AM306" i="8"/>
  <c r="AM299" i="8"/>
  <c r="AM295" i="8"/>
  <c r="AM291" i="8"/>
  <c r="H287" i="8"/>
  <c r="AM287" i="8" s="1"/>
  <c r="AM283" i="8"/>
  <c r="AM279" i="8"/>
  <c r="AG277" i="8"/>
  <c r="AM273" i="8"/>
  <c r="H276" i="8"/>
  <c r="AM270" i="8"/>
  <c r="AM263" i="8"/>
  <c r="H265" i="8"/>
  <c r="AL260" i="8"/>
  <c r="AL266" i="8" s="1"/>
  <c r="R255" i="8"/>
  <c r="AM255" i="8" s="1"/>
  <c r="R250" i="8"/>
  <c r="AM250" i="8" s="1"/>
  <c r="AM246" i="8"/>
  <c r="AM242" i="8"/>
  <c r="AM238" i="8"/>
  <c r="AM234" i="8"/>
  <c r="R230" i="8"/>
  <c r="AM230" i="8" s="1"/>
  <c r="AM226" i="8"/>
  <c r="AM222" i="8"/>
  <c r="AB220" i="8"/>
  <c r="H220" i="8"/>
  <c r="AM211" i="8"/>
  <c r="AC205" i="8"/>
  <c r="E205" i="8"/>
  <c r="AL194" i="8"/>
  <c r="AL205" i="8" s="1"/>
  <c r="R194" i="8"/>
  <c r="AM149" i="8"/>
  <c r="V51" i="7"/>
  <c r="R51" i="7"/>
  <c r="M51" i="7"/>
  <c r="AF42" i="7"/>
  <c r="H40" i="7"/>
  <c r="E40" i="7"/>
  <c r="O24" i="7"/>
  <c r="H446" i="8"/>
  <c r="AM446" i="8" s="1"/>
  <c r="AM442" i="8"/>
  <c r="AM438" i="8"/>
  <c r="AM434" i="8"/>
  <c r="AM430" i="8"/>
  <c r="AM423" i="8"/>
  <c r="AM419" i="8"/>
  <c r="H415" i="8"/>
  <c r="AM411" i="8"/>
  <c r="AM407" i="8"/>
  <c r="AM403" i="8"/>
  <c r="AM399" i="8"/>
  <c r="AM391" i="8"/>
  <c r="AM387" i="8"/>
  <c r="AM383" i="8"/>
  <c r="H379" i="8"/>
  <c r="AM379" i="8" s="1"/>
  <c r="AM375" i="8"/>
  <c r="AM371" i="8"/>
  <c r="AM367" i="8"/>
  <c r="AM363" i="8"/>
  <c r="AM330" i="8"/>
  <c r="AM326" i="8"/>
  <c r="AM314" i="8"/>
  <c r="H312" i="8"/>
  <c r="M307" i="8"/>
  <c r="AG307" i="8"/>
  <c r="AM303" i="8"/>
  <c r="AM300" i="8"/>
  <c r="AL302" i="8"/>
  <c r="AM302" i="8" s="1"/>
  <c r="AM296" i="8"/>
  <c r="H292" i="8"/>
  <c r="AM292" i="8" s="1"/>
  <c r="AM288" i="8"/>
  <c r="AM284" i="8"/>
  <c r="AM280" i="8"/>
  <c r="AM274" i="8"/>
  <c r="H271" i="8"/>
  <c r="AM271" i="8" s="1"/>
  <c r="AM267" i="8"/>
  <c r="N266" i="8"/>
  <c r="AM264" i="8"/>
  <c r="AM251" i="8"/>
  <c r="AM247" i="8"/>
  <c r="AM243" i="8"/>
  <c r="AM239" i="8"/>
  <c r="R235" i="8"/>
  <c r="AM235" i="8" s="1"/>
  <c r="AM231" i="8"/>
  <c r="AM227" i="8"/>
  <c r="AM223" i="8"/>
  <c r="AM219" i="8"/>
  <c r="M220" i="8"/>
  <c r="AM215" i="8"/>
  <c r="AK205" i="8"/>
  <c r="R205" i="8"/>
  <c r="W199" i="8"/>
  <c r="W205" i="8" s="1"/>
  <c r="AM191" i="8"/>
  <c r="M194" i="8"/>
  <c r="AM194" i="8" s="1"/>
  <c r="AB184" i="8"/>
  <c r="H184" i="8"/>
  <c r="AM175" i="8"/>
  <c r="AM169" i="8"/>
  <c r="R128" i="8"/>
  <c r="AM171" i="8"/>
  <c r="AM167" i="8"/>
  <c r="AM163" i="8"/>
  <c r="AM159" i="8"/>
  <c r="AM155" i="8"/>
  <c r="AM151" i="8"/>
  <c r="AM147" i="8"/>
  <c r="AM143" i="8"/>
  <c r="AM139" i="8"/>
  <c r="AM261" i="8"/>
  <c r="AC266" i="8"/>
  <c r="Y266" i="8"/>
  <c r="U266" i="8"/>
  <c r="Q266" i="8"/>
  <c r="M266" i="8"/>
  <c r="I266" i="8"/>
  <c r="E266" i="8"/>
  <c r="AG260" i="8"/>
  <c r="AG266" i="8" s="1"/>
  <c r="AM216" i="8"/>
  <c r="AM212" i="8"/>
  <c r="AM208" i="8"/>
  <c r="AM200" i="8"/>
  <c r="AM196" i="8"/>
  <c r="AM192" i="8"/>
  <c r="AM188" i="8"/>
  <c r="AM180" i="8"/>
  <c r="AM176" i="8"/>
  <c r="AM172" i="8"/>
  <c r="AM168" i="8"/>
  <c r="M164" i="8"/>
  <c r="AM164" i="8" s="1"/>
  <c r="AM160" i="8"/>
  <c r="AM156" i="8"/>
  <c r="AM152" i="8"/>
  <c r="AM148" i="8"/>
  <c r="M144" i="8"/>
  <c r="AM144" i="8" s="1"/>
  <c r="AM140" i="8"/>
  <c r="AL107" i="8"/>
  <c r="H107" i="8"/>
  <c r="AM272" i="8"/>
  <c r="AM268" i="8"/>
  <c r="AM262" i="8"/>
  <c r="AM260" i="8"/>
  <c r="AM217" i="8"/>
  <c r="AM213" i="8"/>
  <c r="AM209" i="8"/>
  <c r="AM201" i="8"/>
  <c r="AM197" i="8"/>
  <c r="AM193" i="8"/>
  <c r="AM185" i="8"/>
  <c r="AM181" i="8"/>
  <c r="AM177" i="8"/>
  <c r="AM173" i="8"/>
  <c r="AM165" i="8"/>
  <c r="AM161" i="8"/>
  <c r="AM157" i="8"/>
  <c r="AM153" i="8"/>
  <c r="AM145" i="8"/>
  <c r="AM141" i="8"/>
  <c r="AM137" i="8"/>
  <c r="AB122" i="8"/>
  <c r="AB128" i="8" s="1"/>
  <c r="AL117" i="8"/>
  <c r="R117" i="8"/>
  <c r="AG101" i="8"/>
  <c r="M101" i="8"/>
  <c r="W81" i="8"/>
  <c r="H76" i="8"/>
  <c r="AM218" i="8"/>
  <c r="AM214" i="8"/>
  <c r="AM206" i="8"/>
  <c r="AM202" i="8"/>
  <c r="AM198" i="8"/>
  <c r="AM190" i="8"/>
  <c r="AM186" i="8"/>
  <c r="AM182" i="8"/>
  <c r="AM178" i="8"/>
  <c r="M174" i="8"/>
  <c r="AM174" i="8" s="1"/>
  <c r="AM170" i="8"/>
  <c r="AM166" i="8"/>
  <c r="AM162" i="8"/>
  <c r="AM158" i="8"/>
  <c r="M154" i="8"/>
  <c r="AM154" i="8" s="1"/>
  <c r="AM150" i="8"/>
  <c r="AM146" i="8"/>
  <c r="AM142" i="8"/>
  <c r="AG127" i="8"/>
  <c r="AG128" i="8" s="1"/>
  <c r="W127" i="8"/>
  <c r="W128" i="8" s="1"/>
  <c r="AG112" i="8"/>
  <c r="AB112" i="8"/>
  <c r="R81" i="8"/>
  <c r="AB76" i="8"/>
  <c r="AL76" i="8"/>
  <c r="H71" i="8"/>
  <c r="R66" i="8"/>
  <c r="AG106" i="8"/>
  <c r="AG107" i="8" s="1"/>
  <c r="AK107" i="8"/>
  <c r="AC107" i="8"/>
  <c r="Y107" i="8"/>
  <c r="U107" i="8"/>
  <c r="AG91" i="8"/>
  <c r="AG76" i="8"/>
  <c r="AG66" i="8"/>
  <c r="M66" i="8"/>
  <c r="AM64" i="8"/>
  <c r="AM61" i="8"/>
  <c r="AL61" i="8"/>
  <c r="W441" i="9"/>
  <c r="G441" i="9"/>
  <c r="AF434" i="9"/>
  <c r="AE436" i="9"/>
  <c r="O436" i="9"/>
  <c r="AF430" i="9"/>
  <c r="AE431" i="9"/>
  <c r="O431" i="9"/>
  <c r="W421" i="9"/>
  <c r="G421" i="9"/>
  <c r="N395" i="9"/>
  <c r="W394" i="9"/>
  <c r="W395" i="9" s="1"/>
  <c r="AF381" i="9"/>
  <c r="S384" i="9"/>
  <c r="AF376" i="9"/>
  <c r="G379" i="9"/>
  <c r="AF366" i="9"/>
  <c r="W369" i="9"/>
  <c r="AF362" i="9"/>
  <c r="G364" i="9"/>
  <c r="I348" i="9"/>
  <c r="AA347" i="9"/>
  <c r="AA348" i="9" s="1"/>
  <c r="AF343" i="9"/>
  <c r="AF335" i="9"/>
  <c r="S322" i="9"/>
  <c r="AF315" i="9"/>
  <c r="AE312" i="9"/>
  <c r="AA312" i="9"/>
  <c r="AF299" i="9"/>
  <c r="AF438" i="9"/>
  <c r="AF435" i="9"/>
  <c r="AA436" i="9"/>
  <c r="K436" i="9"/>
  <c r="AA431" i="9"/>
  <c r="AF427" i="9"/>
  <c r="AF418" i="9"/>
  <c r="AF403" i="9"/>
  <c r="K400" i="9"/>
  <c r="AF400" i="9" s="1"/>
  <c r="AB395" i="9"/>
  <c r="V395" i="9"/>
  <c r="R395" i="9"/>
  <c r="H395" i="9"/>
  <c r="S395" i="9"/>
  <c r="G389" i="9"/>
  <c r="AF382" i="9"/>
  <c r="AE384" i="9"/>
  <c r="O384" i="9"/>
  <c r="AF367" i="9"/>
  <c r="S369" i="9"/>
  <c r="AF355" i="9"/>
  <c r="S359" i="9"/>
  <c r="G353" i="9"/>
  <c r="O327" i="9"/>
  <c r="AF320" i="9"/>
  <c r="AF316" i="9"/>
  <c r="AE317" i="9"/>
  <c r="O317" i="9"/>
  <c r="AF300" i="9"/>
  <c r="AE297" i="9"/>
  <c r="AG96" i="8"/>
  <c r="AG86" i="8"/>
  <c r="AG71" i="8"/>
  <c r="AF439" i="9"/>
  <c r="W436" i="9"/>
  <c r="AF432" i="9"/>
  <c r="AF428" i="9"/>
  <c r="AF419" i="9"/>
  <c r="AF408" i="9"/>
  <c r="AF404" i="9"/>
  <c r="AF378" i="9"/>
  <c r="AF368" i="9"/>
  <c r="AE364" i="9"/>
  <c r="AF360" i="9"/>
  <c r="AC348" i="9"/>
  <c r="AF345" i="9"/>
  <c r="T348" i="9"/>
  <c r="J348" i="9"/>
  <c r="AF341" i="9"/>
  <c r="AA342" i="9"/>
  <c r="K342" i="9"/>
  <c r="AA337" i="9"/>
  <c r="AF333" i="9"/>
  <c r="G332" i="9"/>
  <c r="AE332" i="9"/>
  <c r="AF328" i="9"/>
  <c r="AE327" i="9"/>
  <c r="W327" i="9"/>
  <c r="AA317" i="9"/>
  <c r="AF313" i="9"/>
  <c r="K317" i="9"/>
  <c r="G307" i="9"/>
  <c r="AF303" i="9"/>
  <c r="AF301" i="9"/>
  <c r="AE302" i="9"/>
  <c r="O302" i="9"/>
  <c r="AF296" i="9"/>
  <c r="AF446" i="9"/>
  <c r="AF440" i="9"/>
  <c r="AF433" i="9"/>
  <c r="AF429" i="9"/>
  <c r="AF426" i="9"/>
  <c r="AF420" i="9"/>
  <c r="S416" i="9"/>
  <c r="G415" i="9"/>
  <c r="AF415" i="9" s="1"/>
  <c r="AA405" i="9"/>
  <c r="AF401" i="9"/>
  <c r="AF380" i="9"/>
  <c r="AA379" i="9"/>
  <c r="AF375" i="9"/>
  <c r="AF361" i="9"/>
  <c r="AF346" i="9"/>
  <c r="AF334" i="9"/>
  <c r="AF329" i="9"/>
  <c r="AF314" i="9"/>
  <c r="AF304" i="9"/>
  <c r="AF298" i="9"/>
  <c r="K302" i="9"/>
  <c r="AF295" i="9"/>
  <c r="AF264" i="9"/>
  <c r="AA265" i="9"/>
  <c r="K265" i="9"/>
  <c r="R266" i="9"/>
  <c r="AF233" i="9"/>
  <c r="O230" i="9"/>
  <c r="AF191" i="9"/>
  <c r="AF186" i="9"/>
  <c r="AF177" i="9"/>
  <c r="AF172" i="9"/>
  <c r="W159" i="9"/>
  <c r="AF155" i="9"/>
  <c r="G159" i="9"/>
  <c r="AF142" i="9"/>
  <c r="G143" i="9"/>
  <c r="AA127" i="9"/>
  <c r="AF123" i="9"/>
  <c r="K127" i="9"/>
  <c r="K128" i="9" s="1"/>
  <c r="W91" i="9"/>
  <c r="AF87" i="9"/>
  <c r="G91" i="9"/>
  <c r="W76" i="9"/>
  <c r="AF72" i="9"/>
  <c r="G76" i="9"/>
  <c r="AF38" i="9"/>
  <c r="AF273" i="9"/>
  <c r="S277" i="9"/>
  <c r="AF261" i="9"/>
  <c r="AF252" i="9"/>
  <c r="AF246" i="9"/>
  <c r="AF238" i="9"/>
  <c r="X205" i="9"/>
  <c r="AF192" i="9"/>
  <c r="AF156" i="9"/>
  <c r="AF147" i="9"/>
  <c r="AF139" i="9"/>
  <c r="AB144" i="9"/>
  <c r="AF124" i="9"/>
  <c r="AF116" i="9"/>
  <c r="AF88" i="9"/>
  <c r="AF73" i="9"/>
  <c r="AF16" i="9"/>
  <c r="S4" i="10"/>
  <c r="O4" i="10"/>
  <c r="K4" i="10"/>
  <c r="G4" i="10"/>
  <c r="V416" i="9"/>
  <c r="R416" i="9"/>
  <c r="AF402" i="9"/>
  <c r="AD395" i="9"/>
  <c r="J395" i="9"/>
  <c r="AF383" i="9"/>
  <c r="AF377" i="9"/>
  <c r="AF373" i="9"/>
  <c r="AA374" i="9"/>
  <c r="K374" i="9"/>
  <c r="AA369" i="9"/>
  <c r="AF365" i="9"/>
  <c r="AF363" i="9"/>
  <c r="M348" i="9"/>
  <c r="AF344" i="9"/>
  <c r="AF336" i="9"/>
  <c r="AE337" i="9"/>
  <c r="O337" i="9"/>
  <c r="AF330" i="9"/>
  <c r="W322" i="9"/>
  <c r="AF305" i="9"/>
  <c r="W297" i="9"/>
  <c r="AF293" i="9"/>
  <c r="AF284" i="9"/>
  <c r="W282" i="9"/>
  <c r="AF278" i="9"/>
  <c r="U277" i="9"/>
  <c r="U266" i="9"/>
  <c r="Q266" i="9"/>
  <c r="M266" i="9"/>
  <c r="AF262" i="9"/>
  <c r="AD266" i="9"/>
  <c r="T266" i="9"/>
  <c r="P266" i="9"/>
  <c r="J266" i="9"/>
  <c r="AF259" i="9"/>
  <c r="AA260" i="9"/>
  <c r="K260" i="9"/>
  <c r="AF253" i="9"/>
  <c r="AF247" i="9"/>
  <c r="G245" i="9"/>
  <c r="AA235" i="9"/>
  <c r="AA225" i="9"/>
  <c r="K225" i="9"/>
  <c r="G215" i="9"/>
  <c r="AB205" i="9"/>
  <c r="M205" i="9"/>
  <c r="AF201" i="9"/>
  <c r="S205" i="9"/>
  <c r="G199" i="9"/>
  <c r="G179" i="9"/>
  <c r="AF175" i="9"/>
  <c r="AA174" i="9"/>
  <c r="AF167" i="9"/>
  <c r="O169" i="9"/>
  <c r="W164" i="9"/>
  <c r="AF157" i="9"/>
  <c r="AF153" i="9"/>
  <c r="AF148" i="9"/>
  <c r="AE149" i="9"/>
  <c r="W133" i="9"/>
  <c r="G133" i="9"/>
  <c r="AF125" i="9"/>
  <c r="F128" i="9"/>
  <c r="AF110" i="9"/>
  <c r="AA112" i="9"/>
  <c r="W112" i="9"/>
  <c r="F107" i="9"/>
  <c r="O107" i="9"/>
  <c r="AF89" i="9"/>
  <c r="S86" i="9"/>
  <c r="AF74" i="9"/>
  <c r="AF69" i="9"/>
  <c r="AF23" i="9"/>
  <c r="AA24" i="9"/>
  <c r="K24" i="9"/>
  <c r="AE19" i="9"/>
  <c r="AF331" i="9"/>
  <c r="AA327" i="9"/>
  <c r="AF319" i="9"/>
  <c r="AF311" i="9"/>
  <c r="AF306" i="9"/>
  <c r="AF302" i="9"/>
  <c r="AF294" i="9"/>
  <c r="AF291" i="9"/>
  <c r="AA292" i="9"/>
  <c r="K292" i="9"/>
  <c r="AF285" i="9"/>
  <c r="AF279" i="9"/>
  <c r="P277" i="9"/>
  <c r="L266" i="9"/>
  <c r="AF263" i="9"/>
  <c r="AF232" i="9"/>
  <c r="U205" i="9"/>
  <c r="F205" i="9"/>
  <c r="W189" i="9"/>
  <c r="AF176" i="9"/>
  <c r="AF171" i="9"/>
  <c r="AF158" i="9"/>
  <c r="AA159" i="9"/>
  <c r="K159" i="9"/>
  <c r="F144" i="9"/>
  <c r="AF126" i="9"/>
  <c r="AE127" i="9"/>
  <c r="O127" i="9"/>
  <c r="AA122" i="9"/>
  <c r="AE106" i="9"/>
  <c r="AE107" i="9" s="1"/>
  <c r="J107" i="9"/>
  <c r="S96" i="9"/>
  <c r="AF90" i="9"/>
  <c r="AF75" i="9"/>
  <c r="E40" i="9"/>
  <c r="G29" i="9"/>
  <c r="AF20" i="9"/>
  <c r="AF70" i="9"/>
  <c r="V51" i="9"/>
  <c r="R51" i="9"/>
  <c r="W39" i="9"/>
  <c r="AF35" i="9"/>
  <c r="I40" i="9"/>
  <c r="AF17" i="9"/>
  <c r="R4" i="10"/>
  <c r="N4" i="10"/>
  <c r="J4" i="10"/>
  <c r="F4" i="10"/>
  <c r="AF173" i="9"/>
  <c r="Y144" i="9"/>
  <c r="Q144" i="9"/>
  <c r="AF140" i="9"/>
  <c r="V144" i="9"/>
  <c r="V128" i="9"/>
  <c r="Z107" i="9"/>
  <c r="V107" i="9"/>
  <c r="R107" i="9"/>
  <c r="W71" i="9"/>
  <c r="AF67" i="9"/>
  <c r="AE56" i="9"/>
  <c r="M51" i="9"/>
  <c r="H51" i="9"/>
  <c r="AD51" i="9"/>
  <c r="AF36" i="9"/>
  <c r="U40" i="9"/>
  <c r="Q40" i="9"/>
  <c r="M40" i="9"/>
  <c r="AF27" i="9"/>
  <c r="G24" i="9"/>
  <c r="AA14" i="9"/>
  <c r="K14" i="9"/>
  <c r="AA9" i="9"/>
  <c r="Q4" i="10"/>
  <c r="M4" i="10"/>
  <c r="I4" i="10"/>
  <c r="E4" i="10"/>
  <c r="W174" i="9"/>
  <c r="AF170" i="9"/>
  <c r="AF141" i="9"/>
  <c r="Z144" i="9"/>
  <c r="L144" i="9"/>
  <c r="AF135" i="9"/>
  <c r="AF132" i="9"/>
  <c r="S128" i="9"/>
  <c r="L128" i="9"/>
  <c r="AF109" i="9"/>
  <c r="AD107" i="9"/>
  <c r="AF93" i="9"/>
  <c r="AF68" i="9"/>
  <c r="J51" i="9"/>
  <c r="F51" i="9"/>
  <c r="AB40" i="9"/>
  <c r="X40" i="9"/>
  <c r="AF37" i="9"/>
  <c r="Y40" i="9"/>
  <c r="P4" i="10"/>
  <c r="L4" i="10"/>
  <c r="H4" i="10"/>
  <c r="D4" i="10"/>
  <c r="AE416" i="9"/>
  <c r="O416" i="9"/>
  <c r="AF441" i="9"/>
  <c r="AF421" i="9"/>
  <c r="AF390" i="9"/>
  <c r="G394" i="9"/>
  <c r="AB4" i="9"/>
  <c r="V4" i="9"/>
  <c r="V359" i="9"/>
  <c r="R4" i="9"/>
  <c r="R359" i="9"/>
  <c r="AF437" i="9"/>
  <c r="AF417" i="9"/>
  <c r="AA410" i="9"/>
  <c r="AA416" i="9" s="1"/>
  <c r="AF389" i="9"/>
  <c r="W374" i="9"/>
  <c r="H359" i="9"/>
  <c r="Z4" i="9"/>
  <c r="Z359" i="9"/>
  <c r="Q4" i="9"/>
  <c r="F4" i="9"/>
  <c r="F359" i="9"/>
  <c r="O358" i="9"/>
  <c r="E348" i="9"/>
  <c r="AF338" i="9"/>
  <c r="G342" i="9"/>
  <c r="AF324" i="9"/>
  <c r="O322" i="9"/>
  <c r="AF271" i="9"/>
  <c r="AF245" i="9"/>
  <c r="AE235" i="9"/>
  <c r="H205" i="9"/>
  <c r="AF199" i="9"/>
  <c r="AF180" i="9"/>
  <c r="G184" i="9"/>
  <c r="AF120" i="9"/>
  <c r="AF31" i="9"/>
  <c r="G436" i="9"/>
  <c r="AF436" i="9" s="1"/>
  <c r="M416" i="9"/>
  <c r="I416" i="9"/>
  <c r="E416" i="9"/>
  <c r="W410" i="9"/>
  <c r="W416" i="9" s="1"/>
  <c r="AF406" i="9"/>
  <c r="G410" i="9"/>
  <c r="AF392" i="9"/>
  <c r="AE394" i="9"/>
  <c r="AE395" i="9" s="1"/>
  <c r="O394" i="9"/>
  <c r="O395" i="9" s="1"/>
  <c r="G384" i="9"/>
  <c r="AF384" i="9" s="1"/>
  <c r="AF371" i="9"/>
  <c r="K369" i="9"/>
  <c r="AF369" i="9" s="1"/>
  <c r="AB359" i="9"/>
  <c r="Q359" i="9"/>
  <c r="AD359" i="9"/>
  <c r="J359" i="9"/>
  <c r="AF357" i="9"/>
  <c r="AA358" i="9"/>
  <c r="K358" i="9"/>
  <c r="AF339" i="9"/>
  <c r="K337" i="9"/>
  <c r="AF337" i="9" s="1"/>
  <c r="AF325" i="9"/>
  <c r="AF321" i="9"/>
  <c r="W312" i="9"/>
  <c r="AF308" i="9"/>
  <c r="G312" i="9"/>
  <c r="AF286" i="9"/>
  <c r="AF280" i="9"/>
  <c r="AE282" i="9"/>
  <c r="O282" i="9"/>
  <c r="AF254" i="9"/>
  <c r="AF248" i="9"/>
  <c r="AE250" i="9"/>
  <c r="O250" i="9"/>
  <c r="AF231" i="9"/>
  <c r="AF193" i="9"/>
  <c r="AF188" i="9"/>
  <c r="AA189" i="9"/>
  <c r="K189" i="9"/>
  <c r="AA149" i="9"/>
  <c r="AF145" i="9"/>
  <c r="K149" i="9"/>
  <c r="AF111" i="9"/>
  <c r="AF18" i="9"/>
  <c r="AF13" i="9"/>
  <c r="AF5" i="9"/>
  <c r="K9" i="9"/>
  <c r="M4" i="9"/>
  <c r="AF353" i="9"/>
  <c r="AF323" i="9"/>
  <c r="K327" i="9"/>
  <c r="AF327" i="9" s="1"/>
  <c r="AF317" i="9"/>
  <c r="AF310" i="9"/>
  <c r="AF230" i="9"/>
  <c r="AF409" i="9"/>
  <c r="K410" i="9"/>
  <c r="K416" i="9" s="1"/>
  <c r="AF391" i="9"/>
  <c r="AF370" i="9"/>
  <c r="G374" i="9"/>
  <c r="M359" i="9"/>
  <c r="U4" i="9"/>
  <c r="AF356" i="9"/>
  <c r="AE358" i="9"/>
  <c r="Y348" i="9"/>
  <c r="W342" i="9"/>
  <c r="W348" i="9" s="1"/>
  <c r="AE322" i="9"/>
  <c r="AF234" i="9"/>
  <c r="O235" i="9"/>
  <c r="AF187" i="9"/>
  <c r="AF160" i="9"/>
  <c r="G164" i="9"/>
  <c r="AF24" i="9"/>
  <c r="K431" i="9"/>
  <c r="AF431" i="9" s="1"/>
  <c r="AF407" i="9"/>
  <c r="K405" i="9"/>
  <c r="AF405" i="9"/>
  <c r="AF393" i="9"/>
  <c r="AA394" i="9"/>
  <c r="AA395" i="9" s="1"/>
  <c r="K394" i="9"/>
  <c r="K395" i="9" s="1"/>
  <c r="K379" i="9"/>
  <c r="AF379" i="9" s="1"/>
  <c r="AF372" i="9"/>
  <c r="AE374" i="9"/>
  <c r="O374" i="9"/>
  <c r="O364" i="9"/>
  <c r="AF364" i="9" s="1"/>
  <c r="U359" i="9"/>
  <c r="X4" i="9"/>
  <c r="S4" i="9"/>
  <c r="N359" i="9"/>
  <c r="D4" i="9"/>
  <c r="W358" i="9"/>
  <c r="AF354" i="9"/>
  <c r="G358" i="9"/>
  <c r="K347" i="9"/>
  <c r="K348" i="9" s="1"/>
  <c r="AF340" i="9"/>
  <c r="AE342" i="9"/>
  <c r="AE348" i="9" s="1"/>
  <c r="O342" i="9"/>
  <c r="O348" i="9" s="1"/>
  <c r="O332" i="9"/>
  <c r="AF332" i="9" s="1"/>
  <c r="AF326" i="9"/>
  <c r="AF318" i="9"/>
  <c r="AF309" i="9"/>
  <c r="AA287" i="9"/>
  <c r="AF283" i="9"/>
  <c r="K287" i="9"/>
  <c r="AF281" i="9"/>
  <c r="AA255" i="9"/>
  <c r="AF251" i="9"/>
  <c r="K255" i="9"/>
  <c r="AF249" i="9"/>
  <c r="AF224" i="9"/>
  <c r="AF217" i="9"/>
  <c r="AF215" i="9"/>
  <c r="AF206" i="9"/>
  <c r="G210" i="9"/>
  <c r="T205" i="9"/>
  <c r="W194" i="9"/>
  <c r="AF190" i="9"/>
  <c r="G194" i="9"/>
  <c r="AF185" i="9"/>
  <c r="AF146" i="9"/>
  <c r="AE112" i="9"/>
  <c r="AF108" i="9"/>
  <c r="O112" i="9"/>
  <c r="AF112" i="9" s="1"/>
  <c r="AF52" i="9"/>
  <c r="O56" i="9"/>
  <c r="W19" i="9"/>
  <c r="AF15" i="9"/>
  <c r="G19" i="9"/>
  <c r="O307" i="9"/>
  <c r="AF307" i="9"/>
  <c r="W292" i="9"/>
  <c r="AF288" i="9"/>
  <c r="G292" i="9"/>
  <c r="AF274" i="9"/>
  <c r="AE276" i="9"/>
  <c r="AE277" i="9" s="1"/>
  <c r="O276" i="9"/>
  <c r="O277" i="9" s="1"/>
  <c r="Y266" i="9"/>
  <c r="E266" i="9"/>
  <c r="E4" i="9" s="1"/>
  <c r="W260" i="9"/>
  <c r="W266" i="9" s="1"/>
  <c r="AF256" i="9"/>
  <c r="G260" i="9"/>
  <c r="AF239" i="9"/>
  <c r="AA240" i="9"/>
  <c r="K240" i="9"/>
  <c r="W225" i="9"/>
  <c r="AF221" i="9"/>
  <c r="G225" i="9"/>
  <c r="AF225" i="9" s="1"/>
  <c r="AF207" i="9"/>
  <c r="AF202" i="9"/>
  <c r="AE204" i="9"/>
  <c r="AE205" i="9" s="1"/>
  <c r="O204" i="9"/>
  <c r="O205" i="9" s="1"/>
  <c r="AF181" i="9"/>
  <c r="AF179" i="9"/>
  <c r="AF168" i="9"/>
  <c r="AA169" i="9"/>
  <c r="K169" i="9"/>
  <c r="AF161" i="9"/>
  <c r="AF159" i="9"/>
  <c r="W154" i="9"/>
  <c r="AF150" i="9"/>
  <c r="G154" i="9"/>
  <c r="AF136" i="9"/>
  <c r="AE138" i="9"/>
  <c r="AE144" i="9" s="1"/>
  <c r="O138" i="9"/>
  <c r="AF129" i="9"/>
  <c r="K133" i="9"/>
  <c r="AF121" i="9"/>
  <c r="AF104" i="9"/>
  <c r="AF100" i="9"/>
  <c r="AF94" i="9"/>
  <c r="AF53" i="9"/>
  <c r="AF32" i="9"/>
  <c r="AF28" i="9"/>
  <c r="AE29" i="9"/>
  <c r="O29" i="9"/>
  <c r="W14" i="9"/>
  <c r="AF10" i="9"/>
  <c r="G14" i="9"/>
  <c r="AF14" i="9" s="1"/>
  <c r="AF6" i="9"/>
  <c r="AF289" i="9"/>
  <c r="AF275" i="9"/>
  <c r="AA276" i="9"/>
  <c r="AA277" i="9" s="1"/>
  <c r="K276" i="9"/>
  <c r="K277" i="9" s="1"/>
  <c r="AF257" i="9"/>
  <c r="AF255" i="9"/>
  <c r="W240" i="9"/>
  <c r="AF236" i="9"/>
  <c r="G240" i="9"/>
  <c r="AF222" i="9"/>
  <c r="AF219" i="9"/>
  <c r="AA220" i="9"/>
  <c r="K220" i="9"/>
  <c r="AF208" i="9"/>
  <c r="AE210" i="9"/>
  <c r="O210" i="9"/>
  <c r="AD205" i="9"/>
  <c r="AD4" i="9" s="1"/>
  <c r="P205" i="9"/>
  <c r="J205" i="9"/>
  <c r="J4" i="9" s="1"/>
  <c r="AF203" i="9"/>
  <c r="AA204" i="9"/>
  <c r="AA205" i="9" s="1"/>
  <c r="K204" i="9"/>
  <c r="K205" i="9" s="1"/>
  <c r="G189" i="9"/>
  <c r="AF189" i="9" s="1"/>
  <c r="AF182" i="9"/>
  <c r="AE184" i="9"/>
  <c r="O184" i="9"/>
  <c r="G174" i="9"/>
  <c r="AF174" i="9" s="1"/>
  <c r="W169" i="9"/>
  <c r="AF165" i="9"/>
  <c r="G169" i="9"/>
  <c r="AF151" i="9"/>
  <c r="AF149" i="9"/>
  <c r="AF137" i="9"/>
  <c r="AF130" i="9"/>
  <c r="AE128" i="9"/>
  <c r="O128" i="9"/>
  <c r="AF127" i="9"/>
  <c r="W122" i="9"/>
  <c r="W128" i="9" s="1"/>
  <c r="AF118" i="9"/>
  <c r="G122" i="9"/>
  <c r="AF95" i="9"/>
  <c r="AF91" i="9"/>
  <c r="AF82" i="9"/>
  <c r="G86" i="9"/>
  <c r="AF78" i="9"/>
  <c r="AF64" i="9"/>
  <c r="AF60" i="9"/>
  <c r="AF54" i="9"/>
  <c r="G322" i="9"/>
  <c r="AF322" i="9" s="1"/>
  <c r="G297" i="9"/>
  <c r="AF297" i="9" s="1"/>
  <c r="AF290" i="9"/>
  <c r="AE292" i="9"/>
  <c r="O292" i="9"/>
  <c r="G282" i="9"/>
  <c r="AF282" i="9" s="1"/>
  <c r="N277" i="9"/>
  <c r="W276" i="9"/>
  <c r="W277" i="9" s="1"/>
  <c r="AF272" i="9"/>
  <c r="G276" i="9"/>
  <c r="G265" i="9"/>
  <c r="AF258" i="9"/>
  <c r="AE260" i="9"/>
  <c r="AE266" i="9" s="1"/>
  <c r="O260" i="9"/>
  <c r="O266" i="9" s="1"/>
  <c r="G250" i="9"/>
  <c r="AF250" i="9" s="1"/>
  <c r="AF237" i="9"/>
  <c r="K235" i="9"/>
  <c r="AF235" i="9" s="1"/>
  <c r="AF223" i="9"/>
  <c r="W220" i="9"/>
  <c r="AF216" i="9"/>
  <c r="G220" i="9"/>
  <c r="AF209" i="9"/>
  <c r="AF166" i="9"/>
  <c r="AF163" i="9"/>
  <c r="AA164" i="9"/>
  <c r="K164" i="9"/>
  <c r="AF152" i="9"/>
  <c r="AE154" i="9"/>
  <c r="O154" i="9"/>
  <c r="O144" i="9"/>
  <c r="K143" i="9"/>
  <c r="K144" i="9" s="1"/>
  <c r="AF143" i="9"/>
  <c r="W138" i="9"/>
  <c r="W144" i="9" s="1"/>
  <c r="AF134" i="9"/>
  <c r="G138" i="9"/>
  <c r="G144" i="9" s="1"/>
  <c r="AF133" i="9"/>
  <c r="AF131" i="9"/>
  <c r="AF119" i="9"/>
  <c r="AA117" i="9"/>
  <c r="AF115" i="9"/>
  <c r="K117" i="9"/>
  <c r="AE96" i="9"/>
  <c r="AF92" i="9"/>
  <c r="O96" i="9"/>
  <c r="AF55" i="9"/>
  <c r="AF218" i="9"/>
  <c r="AE220" i="9"/>
  <c r="O220" i="9"/>
  <c r="N205" i="9"/>
  <c r="N4" i="9" s="1"/>
  <c r="W204" i="9"/>
  <c r="W205" i="9" s="1"/>
  <c r="AF200" i="9"/>
  <c r="G204" i="9"/>
  <c r="AF183" i="9"/>
  <c r="AA184" i="9"/>
  <c r="K184" i="9"/>
  <c r="AF162" i="9"/>
  <c r="AE164" i="9"/>
  <c r="O164" i="9"/>
  <c r="AF47" i="9"/>
  <c r="AF43" i="9"/>
  <c r="AF103" i="9"/>
  <c r="AF99" i="9"/>
  <c r="AF96" i="9"/>
  <c r="AF85" i="9"/>
  <c r="AA86" i="9"/>
  <c r="K86" i="9"/>
  <c r="AA81" i="9"/>
  <c r="AF77" i="9"/>
  <c r="K81" i="9"/>
  <c r="AF63" i="9"/>
  <c r="AF59" i="9"/>
  <c r="AF56" i="9"/>
  <c r="Y51" i="9"/>
  <c r="Y4" i="9" s="1"/>
  <c r="AF48" i="9"/>
  <c r="AF44" i="9"/>
  <c r="AE45" i="9"/>
  <c r="AE51" i="9" s="1"/>
  <c r="O45" i="9"/>
  <c r="O51" i="9" s="1"/>
  <c r="AF113" i="9"/>
  <c r="AC107" i="9"/>
  <c r="AF105" i="9"/>
  <c r="AA106" i="9"/>
  <c r="AA107" i="9" s="1"/>
  <c r="K106" i="9"/>
  <c r="AA101" i="9"/>
  <c r="AF97" i="9"/>
  <c r="K101" i="9"/>
  <c r="AF101" i="9" s="1"/>
  <c r="AF83" i="9"/>
  <c r="AF79" i="9"/>
  <c r="AF76" i="9"/>
  <c r="AF65" i="9"/>
  <c r="AA66" i="9"/>
  <c r="K66" i="9"/>
  <c r="AA61" i="9"/>
  <c r="AF57" i="9"/>
  <c r="K61" i="9"/>
  <c r="AF61" i="9" s="1"/>
  <c r="AC51" i="9"/>
  <c r="AC4" i="9" s="1"/>
  <c r="AF49" i="9"/>
  <c r="AA50" i="9"/>
  <c r="AA51" i="9" s="1"/>
  <c r="K50" i="9"/>
  <c r="AA45" i="9"/>
  <c r="AF41" i="9"/>
  <c r="K45" i="9"/>
  <c r="T40" i="9"/>
  <c r="T4" i="9" s="1"/>
  <c r="P40" i="9"/>
  <c r="P4" i="9" s="1"/>
  <c r="L40" i="9"/>
  <c r="L4" i="9" s="1"/>
  <c r="H40" i="9"/>
  <c r="H4" i="9" s="1"/>
  <c r="AF33" i="9"/>
  <c r="AA34" i="9"/>
  <c r="AA40" i="9" s="1"/>
  <c r="K34" i="9"/>
  <c r="K40" i="9" s="1"/>
  <c r="AA29" i="9"/>
  <c r="AF25" i="9"/>
  <c r="K29" i="9"/>
  <c r="AF11" i="9"/>
  <c r="AF7" i="9"/>
  <c r="AF114" i="9"/>
  <c r="I107" i="9"/>
  <c r="W106" i="9"/>
  <c r="W107" i="9" s="1"/>
  <c r="AF102" i="9"/>
  <c r="G106" i="9"/>
  <c r="AF98" i="9"/>
  <c r="AF84" i="9"/>
  <c r="AF80" i="9"/>
  <c r="AE81" i="9"/>
  <c r="O81" i="9"/>
  <c r="G71" i="9"/>
  <c r="AF71" i="9" s="1"/>
  <c r="W66" i="9"/>
  <c r="AF62" i="9"/>
  <c r="G66" i="9"/>
  <c r="AF58" i="9"/>
  <c r="I51" i="9"/>
  <c r="I4" i="9" s="1"/>
  <c r="W50" i="9"/>
  <c r="W51" i="9" s="1"/>
  <c r="AF46" i="9"/>
  <c r="G50" i="9"/>
  <c r="AF42" i="9"/>
  <c r="G39" i="9"/>
  <c r="W34" i="9"/>
  <c r="W40" i="9" s="1"/>
  <c r="AF30" i="9"/>
  <c r="G34" i="9"/>
  <c r="AF34" i="9" s="1"/>
  <c r="AF26" i="9"/>
  <c r="AF12" i="9"/>
  <c r="AF8" i="9"/>
  <c r="AE9" i="9"/>
  <c r="O9" i="9"/>
  <c r="AM426" i="8"/>
  <c r="AJ4" i="8"/>
  <c r="AF4" i="8"/>
  <c r="P4" i="8"/>
  <c r="L4" i="8"/>
  <c r="D4" i="8"/>
  <c r="AM353" i="8"/>
  <c r="AM349" i="8"/>
  <c r="AM345" i="8"/>
  <c r="AM341" i="8"/>
  <c r="AM337" i="8"/>
  <c r="AM317" i="8"/>
  <c r="AM307" i="8"/>
  <c r="X4" i="8"/>
  <c r="AI4" i="8"/>
  <c r="AE4" i="8"/>
  <c r="AA4" i="8"/>
  <c r="S4" i="8"/>
  <c r="O4" i="8"/>
  <c r="K4" i="8"/>
  <c r="G4" i="8"/>
  <c r="AM354" i="8"/>
  <c r="AM350" i="8"/>
  <c r="AM346" i="8"/>
  <c r="H342" i="8"/>
  <c r="AM342" i="8" s="1"/>
  <c r="AM338" i="8"/>
  <c r="AM322" i="8"/>
  <c r="AM66" i="8"/>
  <c r="T4" i="8"/>
  <c r="AH4" i="8"/>
  <c r="AD4" i="8"/>
  <c r="Z4" i="8"/>
  <c r="V4" i="8"/>
  <c r="N4" i="8"/>
  <c r="J4" i="8"/>
  <c r="F4" i="8"/>
  <c r="AM355" i="8"/>
  <c r="AM351" i="8"/>
  <c r="H347" i="8"/>
  <c r="AM343" i="8"/>
  <c r="AM339" i="8"/>
  <c r="AM335" i="8"/>
  <c r="AM331" i="8"/>
  <c r="AM327" i="8"/>
  <c r="AM323" i="8"/>
  <c r="AM319" i="8"/>
  <c r="AM315" i="8"/>
  <c r="AM311" i="8"/>
  <c r="AK4" i="8"/>
  <c r="AC4" i="8"/>
  <c r="Y4" i="8"/>
  <c r="U4" i="8"/>
  <c r="AM356" i="8"/>
  <c r="AM352" i="8"/>
  <c r="AM344" i="8"/>
  <c r="AM340" i="8"/>
  <c r="AM336" i="8"/>
  <c r="AM332" i="8"/>
  <c r="AM328" i="8"/>
  <c r="AM324" i="8"/>
  <c r="AM320" i="8"/>
  <c r="AM316" i="8"/>
  <c r="AM312" i="8"/>
  <c r="AM308" i="8"/>
  <c r="AM133" i="8"/>
  <c r="AM129" i="8"/>
  <c r="AM125" i="8"/>
  <c r="AM121" i="8"/>
  <c r="AM117" i="8"/>
  <c r="AM113" i="8"/>
  <c r="AM109" i="8"/>
  <c r="AM105" i="8"/>
  <c r="AM101" i="8"/>
  <c r="AM97" i="8"/>
  <c r="AM93" i="8"/>
  <c r="AM89" i="8"/>
  <c r="AM85" i="8"/>
  <c r="AM81" i="8"/>
  <c r="AM77" i="8"/>
  <c r="AM73" i="8"/>
  <c r="AM69" i="8"/>
  <c r="AM134" i="8"/>
  <c r="AM130" i="8"/>
  <c r="AM126" i="8"/>
  <c r="M122" i="8"/>
  <c r="AM122" i="8" s="1"/>
  <c r="AM118" i="8"/>
  <c r="AM114" i="8"/>
  <c r="AM110" i="8"/>
  <c r="M106" i="8"/>
  <c r="AM102" i="8"/>
  <c r="AM98" i="8"/>
  <c r="AM94" i="8"/>
  <c r="AM90" i="8"/>
  <c r="M86" i="8"/>
  <c r="AM86" i="8" s="1"/>
  <c r="AM82" i="8"/>
  <c r="AM78" i="8"/>
  <c r="AM74" i="8"/>
  <c r="AM70" i="8"/>
  <c r="AM65" i="8"/>
  <c r="AM135" i="8"/>
  <c r="AM131" i="8"/>
  <c r="M127" i="8"/>
  <c r="AM123" i="8"/>
  <c r="AM119" i="8"/>
  <c r="AM115" i="8"/>
  <c r="AM111" i="8"/>
  <c r="AM103" i="8"/>
  <c r="AM99" i="8"/>
  <c r="AM95" i="8"/>
  <c r="M91" i="8"/>
  <c r="AM91" i="8" s="1"/>
  <c r="AM87" i="8"/>
  <c r="AM83" i="8"/>
  <c r="AM79" i="8"/>
  <c r="AM75" i="8"/>
  <c r="M71" i="8"/>
  <c r="AM71" i="8" s="1"/>
  <c r="AM67" i="8"/>
  <c r="AM62" i="8"/>
  <c r="Q4" i="8"/>
  <c r="I4" i="8"/>
  <c r="M4" i="8" s="1"/>
  <c r="E4" i="8"/>
  <c r="AM136" i="8"/>
  <c r="AM132" i="8"/>
  <c r="AM124" i="8"/>
  <c r="AM120" i="8"/>
  <c r="AM116" i="8"/>
  <c r="M112" i="8"/>
  <c r="AM112" i="8" s="1"/>
  <c r="AM108" i="8"/>
  <c r="AM104" i="8"/>
  <c r="AM100" i="8"/>
  <c r="M96" i="8"/>
  <c r="AM96" i="8" s="1"/>
  <c r="AM92" i="8"/>
  <c r="AM88" i="8"/>
  <c r="AM84" i="8"/>
  <c r="AM80" i="8"/>
  <c r="M76" i="8"/>
  <c r="AM76" i="8" s="1"/>
  <c r="AM72" i="8"/>
  <c r="AM68" i="8"/>
  <c r="AM63" i="8"/>
  <c r="AF358" i="7"/>
  <c r="K436" i="7"/>
  <c r="AF436" i="7" s="1"/>
  <c r="G431" i="7"/>
  <c r="AF431" i="7" s="1"/>
  <c r="G415" i="7"/>
  <c r="AF378" i="7"/>
  <c r="AA379" i="7"/>
  <c r="K379" i="7"/>
  <c r="G364" i="7"/>
  <c r="AF364" i="7" s="1"/>
  <c r="AF352" i="7"/>
  <c r="AA353" i="7"/>
  <c r="AA359" i="7" s="1"/>
  <c r="K353" i="7"/>
  <c r="AF344" i="7"/>
  <c r="AF339" i="7"/>
  <c r="AF336" i="7"/>
  <c r="AA337" i="7"/>
  <c r="K337" i="7"/>
  <c r="AF330" i="7"/>
  <c r="AF322" i="7"/>
  <c r="AF315" i="7"/>
  <c r="AE317" i="7"/>
  <c r="O317" i="7"/>
  <c r="AF311" i="7"/>
  <c r="AE312" i="7"/>
  <c r="O312" i="7"/>
  <c r="AF305" i="7"/>
  <c r="AF289" i="7"/>
  <c r="AF280" i="7"/>
  <c r="W379" i="7"/>
  <c r="AF375" i="7"/>
  <c r="G379" i="7"/>
  <c r="AF345" i="7"/>
  <c r="AF333" i="7"/>
  <c r="G337" i="7"/>
  <c r="AF331" i="7"/>
  <c r="AF316" i="7"/>
  <c r="AF308" i="7"/>
  <c r="K312" i="7"/>
  <c r="AF306" i="7"/>
  <c r="AF302" i="7"/>
  <c r="AF295" i="7"/>
  <c r="AF290" i="7"/>
  <c r="AF281" i="7"/>
  <c r="G441" i="7"/>
  <c r="AF441" i="7" s="1"/>
  <c r="G421" i="7"/>
  <c r="AF421" i="7" s="1"/>
  <c r="G405" i="7"/>
  <c r="AF405" i="7" s="1"/>
  <c r="G389" i="7"/>
  <c r="AF389" i="7" s="1"/>
  <c r="AF376" i="7"/>
  <c r="K374" i="7"/>
  <c r="AF374" i="7" s="1"/>
  <c r="K358" i="7"/>
  <c r="AF350" i="7"/>
  <c r="AF346" i="7"/>
  <c r="AF341" i="7"/>
  <c r="AA342" i="7"/>
  <c r="AA348" i="7" s="1"/>
  <c r="K342" i="7"/>
  <c r="K348" i="7" s="1"/>
  <c r="AA332" i="7"/>
  <c r="AF332" i="7" s="1"/>
  <c r="AF328" i="7"/>
  <c r="K332" i="7"/>
  <c r="AF326" i="7"/>
  <c r="AF309" i="7"/>
  <c r="AE307" i="7"/>
  <c r="AF303" i="7"/>
  <c r="O307" i="7"/>
  <c r="AF307" i="7" s="1"/>
  <c r="AF291" i="7"/>
  <c r="AF287" i="7"/>
  <c r="W282" i="7"/>
  <c r="AF278" i="7"/>
  <c r="G282" i="7"/>
  <c r="AF282" i="7" s="1"/>
  <c r="AF377" i="7"/>
  <c r="AE379" i="7"/>
  <c r="O379" i="7"/>
  <c r="AF351" i="7"/>
  <c r="AF343" i="7"/>
  <c r="G347" i="7"/>
  <c r="AF329" i="7"/>
  <c r="AF323" i="7"/>
  <c r="AF310" i="7"/>
  <c r="AF304" i="7"/>
  <c r="AE292" i="7"/>
  <c r="AF288" i="7"/>
  <c r="O292" i="7"/>
  <c r="AF279" i="7"/>
  <c r="AF261" i="7"/>
  <c r="G265" i="7"/>
  <c r="AF244" i="7"/>
  <c r="AF223" i="7"/>
  <c r="AF190" i="7"/>
  <c r="G194" i="7"/>
  <c r="AF170" i="7"/>
  <c r="G174" i="7"/>
  <c r="AF150" i="7"/>
  <c r="G154" i="7"/>
  <c r="AF130" i="7"/>
  <c r="AF114" i="7"/>
  <c r="AF92" i="7"/>
  <c r="K96" i="7"/>
  <c r="AJ10" i="7"/>
  <c r="AJ12" i="7"/>
  <c r="AF68" i="7"/>
  <c r="AF62" i="7"/>
  <c r="K66" i="7"/>
  <c r="AF56" i="7"/>
  <c r="AJ11" i="7"/>
  <c r="AF334" i="7"/>
  <c r="W317" i="7"/>
  <c r="AF313" i="7"/>
  <c r="G317" i="7"/>
  <c r="AF296" i="7"/>
  <c r="AA297" i="7"/>
  <c r="K297" i="7"/>
  <c r="AF262" i="7"/>
  <c r="K260" i="7"/>
  <c r="AF260" i="7" s="1"/>
  <c r="W245" i="7"/>
  <c r="AF241" i="7"/>
  <c r="G245" i="7"/>
  <c r="AF224" i="7"/>
  <c r="AA225" i="7"/>
  <c r="K225" i="7"/>
  <c r="G210" i="7"/>
  <c r="AF210" i="7" s="1"/>
  <c r="AF191" i="7"/>
  <c r="AF188" i="7"/>
  <c r="AA189" i="7"/>
  <c r="K189" i="7"/>
  <c r="AF171" i="7"/>
  <c r="AF168" i="7"/>
  <c r="AA169" i="7"/>
  <c r="K169" i="7"/>
  <c r="AF151" i="7"/>
  <c r="AF148" i="7"/>
  <c r="AA149" i="7"/>
  <c r="K149" i="7"/>
  <c r="AF131" i="7"/>
  <c r="AF115" i="7"/>
  <c r="AF108" i="7"/>
  <c r="G106" i="7"/>
  <c r="AJ13" i="7"/>
  <c r="AF93" i="7"/>
  <c r="AJ9" i="7"/>
  <c r="AF85" i="7"/>
  <c r="W353" i="7"/>
  <c r="W359" i="7" s="1"/>
  <c r="AF349" i="7"/>
  <c r="AF353" i="7" s="1"/>
  <c r="G353" i="7"/>
  <c r="G359" i="7" s="1"/>
  <c r="G342" i="7"/>
  <c r="AF342" i="7" s="1"/>
  <c r="AF335" i="7"/>
  <c r="AE337" i="7"/>
  <c r="O337" i="7"/>
  <c r="G327" i="7"/>
  <c r="AF327" i="7" s="1"/>
  <c r="AF314" i="7"/>
  <c r="AF312" i="7"/>
  <c r="W297" i="7"/>
  <c r="AF293" i="7"/>
  <c r="G297" i="7"/>
  <c r="AF263" i="7"/>
  <c r="AE265" i="7"/>
  <c r="AE266" i="7" s="1"/>
  <c r="O265" i="7"/>
  <c r="O266" i="7" s="1"/>
  <c r="G255" i="7"/>
  <c r="AF255" i="7" s="1"/>
  <c r="AF242" i="7"/>
  <c r="K240" i="7"/>
  <c r="AF240" i="7" s="1"/>
  <c r="W225" i="7"/>
  <c r="AF221" i="7"/>
  <c r="G225" i="7"/>
  <c r="AF192" i="7"/>
  <c r="AF185" i="7"/>
  <c r="AF172" i="7"/>
  <c r="AF165" i="7"/>
  <c r="AF152" i="7"/>
  <c r="AF145" i="7"/>
  <c r="AF294" i="7"/>
  <c r="AF292" i="7"/>
  <c r="AA277" i="7"/>
  <c r="W277" i="7"/>
  <c r="S277" i="7"/>
  <c r="O276" i="7"/>
  <c r="O277" i="7" s="1"/>
  <c r="K277" i="7"/>
  <c r="G277" i="7"/>
  <c r="AF264" i="7"/>
  <c r="AA265" i="7"/>
  <c r="AA266" i="7" s="1"/>
  <c r="K265" i="7"/>
  <c r="K266" i="7" s="1"/>
  <c r="AF243" i="7"/>
  <c r="AE245" i="7"/>
  <c r="O245" i="7"/>
  <c r="O235" i="7"/>
  <c r="AF235" i="7" s="1"/>
  <c r="AF222" i="7"/>
  <c r="K220" i="7"/>
  <c r="AF220" i="7" s="1"/>
  <c r="W205" i="7"/>
  <c r="S205" i="7"/>
  <c r="K204" i="7"/>
  <c r="AF204" i="7" s="1"/>
  <c r="G205" i="7"/>
  <c r="AF193" i="7"/>
  <c r="AA194" i="7"/>
  <c r="AA205" i="7" s="1"/>
  <c r="K194" i="7"/>
  <c r="AF186" i="7"/>
  <c r="O184" i="7"/>
  <c r="AF184" i="7" s="1"/>
  <c r="AF173" i="7"/>
  <c r="AA174" i="7"/>
  <c r="K174" i="7"/>
  <c r="AF166" i="7"/>
  <c r="O164" i="7"/>
  <c r="AF164" i="7" s="1"/>
  <c r="AF153" i="7"/>
  <c r="AA154" i="7"/>
  <c r="K154" i="7"/>
  <c r="AF146" i="7"/>
  <c r="AL14" i="7"/>
  <c r="AF8" i="7"/>
  <c r="AL10" i="7"/>
  <c r="AF49" i="7"/>
  <c r="AI12" i="7"/>
  <c r="W19" i="7"/>
  <c r="AF15" i="7"/>
  <c r="G19" i="7"/>
  <c r="AF19" i="7" s="1"/>
  <c r="AL11" i="7"/>
  <c r="AK11" i="7"/>
  <c r="N4" i="7"/>
  <c r="J4" i="7"/>
  <c r="F4" i="7"/>
  <c r="AE9" i="7"/>
  <c r="AF5" i="7"/>
  <c r="O9" i="7"/>
  <c r="AF9" i="7" s="1"/>
  <c r="AI10" i="7"/>
  <c r="W144" i="7"/>
  <c r="AF143" i="7"/>
  <c r="AF132" i="7"/>
  <c r="AA133" i="7"/>
  <c r="K133" i="7"/>
  <c r="W128" i="7"/>
  <c r="AF127" i="7"/>
  <c r="AF116" i="7"/>
  <c r="AA117" i="7"/>
  <c r="K117" i="7"/>
  <c r="AF109" i="7"/>
  <c r="AF100" i="7"/>
  <c r="AF94" i="7"/>
  <c r="AF88" i="7"/>
  <c r="AA86" i="7"/>
  <c r="AF82" i="7"/>
  <c r="K86" i="7"/>
  <c r="AF76" i="7"/>
  <c r="AF69" i="7"/>
  <c r="AF63" i="7"/>
  <c r="AE61" i="7"/>
  <c r="O61" i="7"/>
  <c r="AA50" i="7"/>
  <c r="AF46" i="7"/>
  <c r="K50" i="7"/>
  <c r="AF38" i="7"/>
  <c r="AF32" i="7"/>
  <c r="AF16" i="7"/>
  <c r="AI11" i="7"/>
  <c r="AI14" i="7"/>
  <c r="AD4" i="7"/>
  <c r="Z4" i="7"/>
  <c r="V4" i="7"/>
  <c r="R4" i="7"/>
  <c r="M4" i="7"/>
  <c r="I4" i="7"/>
  <c r="G189" i="7"/>
  <c r="AF189" i="7" s="1"/>
  <c r="G169" i="7"/>
  <c r="AF169" i="7" s="1"/>
  <c r="G149" i="7"/>
  <c r="AF149" i="7" s="1"/>
  <c r="G138" i="7"/>
  <c r="AF138" i="7" s="1"/>
  <c r="W133" i="7"/>
  <c r="AF129" i="7"/>
  <c r="G133" i="7"/>
  <c r="G122" i="7"/>
  <c r="AF122" i="7" s="1"/>
  <c r="W117" i="7"/>
  <c r="AF113" i="7"/>
  <c r="G117" i="7"/>
  <c r="AF117" i="7" s="1"/>
  <c r="AF110" i="7"/>
  <c r="AE112" i="7"/>
  <c r="O112" i="7"/>
  <c r="W101" i="7"/>
  <c r="W107" i="7" s="1"/>
  <c r="AF97" i="7"/>
  <c r="G101" i="7"/>
  <c r="AF95" i="7"/>
  <c r="AF89" i="7"/>
  <c r="AE91" i="7"/>
  <c r="O91" i="7"/>
  <c r="W39" i="7"/>
  <c r="W40" i="7" s="1"/>
  <c r="AF35" i="7"/>
  <c r="G39" i="7"/>
  <c r="AF33" i="7"/>
  <c r="AF98" i="7"/>
  <c r="AF96" i="7"/>
  <c r="AF83" i="7"/>
  <c r="AF79" i="7"/>
  <c r="AE81" i="7"/>
  <c r="O81" i="7"/>
  <c r="AF70" i="7"/>
  <c r="AF66" i="7"/>
  <c r="AF64" i="7"/>
  <c r="AF60" i="7"/>
  <c r="AF47" i="7"/>
  <c r="U51" i="7"/>
  <c r="Q51" i="7"/>
  <c r="AF43" i="7"/>
  <c r="AE45" i="7"/>
  <c r="AE51" i="7" s="1"/>
  <c r="O45" i="7"/>
  <c r="O51" i="7" s="1"/>
  <c r="AF36" i="7"/>
  <c r="AA34" i="7"/>
  <c r="AA40" i="7" s="1"/>
  <c r="AF30" i="7"/>
  <c r="K34" i="7"/>
  <c r="K40" i="7" s="1"/>
  <c r="AF26" i="7"/>
  <c r="AF24" i="7"/>
  <c r="AK12" i="7"/>
  <c r="AF17" i="7"/>
  <c r="AL13" i="7"/>
  <c r="AL9" i="7"/>
  <c r="AF13" i="7"/>
  <c r="AK13" i="7"/>
  <c r="AK9" i="7"/>
  <c r="AF12" i="7"/>
  <c r="AF11" i="7"/>
  <c r="AA14" i="7"/>
  <c r="AI13" i="7"/>
  <c r="AF10" i="7"/>
  <c r="K14" i="7"/>
  <c r="AF14" i="7" s="1"/>
  <c r="AI9" i="7"/>
  <c r="AC4" i="7"/>
  <c r="U4" i="7"/>
  <c r="Q4" i="7"/>
  <c r="L4" i="7"/>
  <c r="O4" i="7" s="1"/>
  <c r="H4" i="7"/>
  <c r="K4" i="7" s="1"/>
  <c r="D4" i="7"/>
  <c r="AJ14" i="7"/>
  <c r="AF6" i="7"/>
  <c r="G112" i="7"/>
  <c r="AF112" i="7" s="1"/>
  <c r="AF99" i="7"/>
  <c r="G91" i="7"/>
  <c r="AF91" i="7" s="1"/>
  <c r="AF86" i="7"/>
  <c r="AF84" i="7"/>
  <c r="AF80" i="7"/>
  <c r="W71" i="7"/>
  <c r="AF67" i="7"/>
  <c r="G71" i="7"/>
  <c r="AF65" i="7"/>
  <c r="AF57" i="7"/>
  <c r="AF48" i="7"/>
  <c r="Y51" i="7"/>
  <c r="Y4" i="7" s="1"/>
  <c r="E51" i="7"/>
  <c r="E4" i="7" s="1"/>
  <c r="AF44" i="7"/>
  <c r="AA51" i="7"/>
  <c r="K51" i="7"/>
  <c r="AF37" i="7"/>
  <c r="AF31" i="7"/>
  <c r="AF27" i="7"/>
  <c r="AE29" i="7"/>
  <c r="O29" i="7"/>
  <c r="AL12" i="7"/>
  <c r="AF18" i="7"/>
  <c r="AL8" i="7"/>
  <c r="AJ8" i="7"/>
  <c r="AI8" i="7"/>
  <c r="AB4" i="7"/>
  <c r="X4" i="7"/>
  <c r="T4" i="7"/>
  <c r="W4" i="7" s="1"/>
  <c r="P4" i="7"/>
  <c r="S4" i="7" s="1"/>
  <c r="AK8" i="7"/>
  <c r="AK14" i="7"/>
  <c r="AF7" i="7"/>
  <c r="AJ3" i="7" s="1"/>
  <c r="AK10" i="7"/>
  <c r="G81" i="7"/>
  <c r="AF81" i="7" s="1"/>
  <c r="G61" i="7"/>
  <c r="AF61" i="7" s="1"/>
  <c r="G45" i="7"/>
  <c r="G29" i="7"/>
  <c r="AF29" i="7" s="1"/>
  <c r="AF276" i="7" l="1"/>
  <c r="AF297" i="7"/>
  <c r="K107" i="9"/>
  <c r="AF117" i="9"/>
  <c r="AF122" i="9"/>
  <c r="K266" i="9"/>
  <c r="AM199" i="8"/>
  <c r="AF133" i="7"/>
  <c r="AF45" i="9"/>
  <c r="AF374" i="9"/>
  <c r="AA266" i="9"/>
  <c r="AM276" i="8"/>
  <c r="H277" i="8"/>
  <c r="AM277" i="8" s="1"/>
  <c r="AM204" i="8"/>
  <c r="M205" i="8"/>
  <c r="AM205" i="8" s="1"/>
  <c r="AF81" i="9"/>
  <c r="AF194" i="9"/>
  <c r="AF287" i="9"/>
  <c r="AF312" i="9"/>
  <c r="AM220" i="8"/>
  <c r="AM265" i="8"/>
  <c r="H266" i="8"/>
  <c r="AM266" i="8" s="1"/>
  <c r="H395" i="8"/>
  <c r="AM395" i="8" s="1"/>
  <c r="AE4" i="7"/>
  <c r="AI3" i="7"/>
  <c r="AF50" i="7"/>
  <c r="K359" i="7"/>
  <c r="AF29" i="9"/>
  <c r="G128" i="9"/>
  <c r="AA128" i="9"/>
  <c r="AM415" i="8"/>
  <c r="H416" i="8"/>
  <c r="AM416" i="8" s="1"/>
  <c r="AB348" i="8"/>
  <c r="AM184" i="8"/>
  <c r="W416" i="7"/>
  <c r="W4" i="9"/>
  <c r="W359" i="9"/>
  <c r="AF9" i="9"/>
  <c r="AF50" i="9"/>
  <c r="G51" i="9"/>
  <c r="AF144" i="9"/>
  <c r="AF86" i="9"/>
  <c r="AF169" i="9"/>
  <c r="AF210" i="9"/>
  <c r="AF128" i="9"/>
  <c r="AF342" i="9"/>
  <c r="G348" i="9"/>
  <c r="AF348" i="9" s="1"/>
  <c r="AF66" i="9"/>
  <c r="AF138" i="9"/>
  <c r="G266" i="9"/>
  <c r="AF266" i="9" s="1"/>
  <c r="AF265" i="9"/>
  <c r="AF240" i="9"/>
  <c r="AF154" i="9"/>
  <c r="AF260" i="9"/>
  <c r="AF292" i="9"/>
  <c r="G359" i="9"/>
  <c r="K4" i="9"/>
  <c r="K359" i="9"/>
  <c r="AF410" i="9"/>
  <c r="G416" i="9"/>
  <c r="AF416" i="9" s="1"/>
  <c r="G395" i="9"/>
  <c r="AF395" i="9" s="1"/>
  <c r="AF394" i="9"/>
  <c r="AF39" i="9"/>
  <c r="G40" i="9"/>
  <c r="AF40" i="9" s="1"/>
  <c r="AF106" i="9"/>
  <c r="G107" i="9"/>
  <c r="AF107" i="9" s="1"/>
  <c r="K51" i="9"/>
  <c r="G205" i="9"/>
  <c r="AF205" i="9" s="1"/>
  <c r="AF204" i="9"/>
  <c r="AF220" i="9"/>
  <c r="G277" i="9"/>
  <c r="AF277" i="9" s="1"/>
  <c r="AF276" i="9"/>
  <c r="AF19" i="9"/>
  <c r="AF358" i="9"/>
  <c r="AF164" i="9"/>
  <c r="AE4" i="9"/>
  <c r="AE359" i="9"/>
  <c r="AA4" i="9"/>
  <c r="AA359" i="9"/>
  <c r="AF184" i="9"/>
  <c r="O4" i="9"/>
  <c r="O359" i="9"/>
  <c r="AF347" i="9"/>
  <c r="AM347" i="8"/>
  <c r="H348" i="8"/>
  <c r="AM348" i="8" s="1"/>
  <c r="AM127" i="8"/>
  <c r="M128" i="8"/>
  <c r="AM128" i="8" s="1"/>
  <c r="AG4" i="8"/>
  <c r="R4" i="8"/>
  <c r="AL4" i="8"/>
  <c r="AM106" i="8"/>
  <c r="M107" i="8"/>
  <c r="AM107" i="8" s="1"/>
  <c r="AM358" i="8"/>
  <c r="W4" i="8"/>
  <c r="AB4" i="8"/>
  <c r="H4" i="8"/>
  <c r="AF101" i="7"/>
  <c r="AF34" i="7"/>
  <c r="G128" i="7"/>
  <c r="AF128" i="7" s="1"/>
  <c r="G107" i="7"/>
  <c r="AF107" i="7" s="1"/>
  <c r="AF106" i="7"/>
  <c r="AF245" i="7"/>
  <c r="AF45" i="7"/>
  <c r="G51" i="7"/>
  <c r="AF51" i="7" s="1"/>
  <c r="G4" i="7"/>
  <c r="AF39" i="7"/>
  <c r="G40" i="7"/>
  <c r="AF40" i="7" s="1"/>
  <c r="AK3" i="7"/>
  <c r="K205" i="7"/>
  <c r="AF205" i="7" s="1"/>
  <c r="AF225" i="7"/>
  <c r="AF317" i="7"/>
  <c r="AF154" i="7"/>
  <c r="AF194" i="7"/>
  <c r="G266" i="7"/>
  <c r="AF266" i="7" s="1"/>
  <c r="AF265" i="7"/>
  <c r="G348" i="7"/>
  <c r="AF348" i="7" s="1"/>
  <c r="AF347" i="7"/>
  <c r="G395" i="7"/>
  <c r="AF395" i="7" s="1"/>
  <c r="AF359" i="7"/>
  <c r="AA4" i="7"/>
  <c r="AF71" i="7"/>
  <c r="G144" i="7"/>
  <c r="AF144" i="7" s="1"/>
  <c r="AF277" i="7"/>
  <c r="AF337" i="7"/>
  <c r="AF415" i="7"/>
  <c r="G416" i="7"/>
  <c r="AF416" i="7" s="1"/>
  <c r="AH3" i="7"/>
  <c r="AF174" i="7"/>
  <c r="AF379" i="7"/>
  <c r="AF359" i="9" l="1"/>
  <c r="G4" i="9"/>
  <c r="AF51" i="9"/>
  <c r="AF4" i="9" s="1"/>
  <c r="AM4" i="8"/>
  <c r="AM359" i="8"/>
  <c r="AF4" i="7"/>
  <c r="AK105" i="2" l="1"/>
  <c r="AC105" i="2"/>
  <c r="AA105" i="2"/>
  <c r="Z105" i="2"/>
  <c r="Y105" i="2"/>
  <c r="M105" i="2"/>
  <c r="E105" i="2"/>
  <c r="D105" i="2"/>
  <c r="C105" i="2"/>
  <c r="AK104" i="2"/>
  <c r="AI104" i="2"/>
  <c r="AE104" i="2"/>
  <c r="AC104" i="2"/>
  <c r="AA104" i="2"/>
  <c r="Z104" i="2"/>
  <c r="Y104" i="2"/>
  <c r="M104" i="2"/>
  <c r="E104" i="2"/>
  <c r="D104" i="2"/>
  <c r="C104" i="2"/>
  <c r="X104" i="2"/>
  <c r="AP103" i="2"/>
  <c r="AL103" i="2"/>
  <c r="AK103" i="2"/>
  <c r="AE103" i="2"/>
  <c r="AB103" i="2"/>
  <c r="AA103" i="2"/>
  <c r="Z103" i="2"/>
  <c r="Y103" i="2"/>
  <c r="T103" i="2"/>
  <c r="Q103" i="2"/>
  <c r="M103" i="2"/>
  <c r="D103" i="2"/>
  <c r="C103" i="2"/>
  <c r="AV102" i="2"/>
  <c r="AR102" i="2"/>
  <c r="AK102" i="2"/>
  <c r="AE102" i="2"/>
  <c r="AC102" i="2"/>
  <c r="AA102" i="2"/>
  <c r="Z102" i="2"/>
  <c r="Y102" i="2"/>
  <c r="T102" i="2"/>
  <c r="E102" i="2"/>
  <c r="D102" i="2"/>
  <c r="C102" i="2"/>
  <c r="AC101" i="2"/>
  <c r="AA101" i="2"/>
  <c r="Z101" i="2"/>
  <c r="Y101" i="2"/>
  <c r="M101" i="2"/>
  <c r="D101" i="2"/>
  <c r="AK100" i="2"/>
  <c r="AJ100" i="2"/>
  <c r="AI100" i="2"/>
  <c r="AE100" i="2"/>
  <c r="AC100" i="2"/>
  <c r="AA100" i="2"/>
  <c r="Z100" i="2"/>
  <c r="Y100" i="2"/>
  <c r="D100" i="2"/>
  <c r="C100" i="2"/>
  <c r="AK99" i="2"/>
  <c r="Z99" i="2"/>
  <c r="Y99" i="2"/>
  <c r="C99" i="2"/>
  <c r="AK98" i="2"/>
  <c r="AI98" i="2"/>
  <c r="C98" i="2"/>
  <c r="AX97" i="2"/>
  <c r="AV97" i="2"/>
  <c r="AU97" i="2"/>
  <c r="AL97" i="2"/>
  <c r="AC97" i="2"/>
  <c r="Z97" i="2"/>
  <c r="U97" i="2"/>
  <c r="T97" i="2"/>
  <c r="M97" i="2"/>
  <c r="E97" i="2"/>
  <c r="D97" i="2"/>
  <c r="AK96" i="2"/>
  <c r="AG96" i="2"/>
  <c r="AU95" i="2"/>
  <c r="AL95" i="2"/>
  <c r="AK95" i="2"/>
  <c r="AI95" i="2"/>
  <c r="AA95" i="2"/>
  <c r="Z95" i="2"/>
  <c r="Y95" i="2"/>
  <c r="T95" i="2"/>
  <c r="S95" i="2"/>
  <c r="M95" i="2"/>
  <c r="E95" i="2"/>
  <c r="D95" i="2"/>
  <c r="C95" i="2"/>
  <c r="AK94" i="2" l="1"/>
  <c r="AJ94" i="2"/>
  <c r="AI94" i="2"/>
  <c r="Z94" i="2"/>
  <c r="Y94" i="2"/>
  <c r="AK93" i="2"/>
  <c r="AI93" i="2"/>
  <c r="AH93" i="2"/>
  <c r="AG93" i="2"/>
  <c r="Z93" i="2"/>
  <c r="Y93" i="2"/>
  <c r="E93" i="2"/>
  <c r="D93" i="2"/>
  <c r="C93" i="2"/>
  <c r="Z92" i="2"/>
  <c r="AK91" i="2"/>
  <c r="AI91" i="2"/>
  <c r="AA91" i="2"/>
  <c r="Z91" i="2"/>
  <c r="Y91" i="2"/>
  <c r="C91" i="2"/>
  <c r="AE90" i="2" l="1"/>
  <c r="AC90" i="2"/>
  <c r="AA90" i="2"/>
  <c r="Z90" i="2"/>
  <c r="Y90" i="2"/>
  <c r="AK89" i="2" l="1"/>
  <c r="AK87" i="2"/>
  <c r="AG87" i="2"/>
  <c r="AE87" i="2"/>
  <c r="AC87" i="2"/>
  <c r="Z87" i="2"/>
  <c r="Y87" i="2"/>
  <c r="D87" i="2"/>
  <c r="AK86" i="2" l="1"/>
  <c r="AC86" i="2"/>
  <c r="AB86" i="2"/>
  <c r="AA86" i="2"/>
  <c r="Z86" i="2"/>
  <c r="Y86" i="2"/>
  <c r="D86" i="2"/>
  <c r="C86" i="2"/>
  <c r="AK85" i="2"/>
  <c r="AA85" i="2"/>
  <c r="Z85" i="2"/>
  <c r="Y85" i="2"/>
  <c r="AX84" i="2"/>
  <c r="AU84" i="2"/>
  <c r="AT84" i="2"/>
  <c r="AR84" i="2"/>
  <c r="AP84" i="2"/>
  <c r="AL84" i="2"/>
  <c r="AK84" i="2"/>
  <c r="AI84" i="2"/>
  <c r="AG84" i="2"/>
  <c r="AE84" i="2"/>
  <c r="AC84" i="2"/>
  <c r="AB84" i="2"/>
  <c r="AA84" i="2"/>
  <c r="Z84" i="2"/>
  <c r="Y84" i="2"/>
  <c r="U84" i="2"/>
  <c r="T84" i="2"/>
  <c r="S84" i="2"/>
  <c r="R84" i="2"/>
  <c r="Q84" i="2"/>
  <c r="N84" i="2"/>
  <c r="M84" i="2"/>
  <c r="G84" i="2"/>
  <c r="F84" i="2"/>
  <c r="E84" i="2"/>
  <c r="D84" i="2"/>
  <c r="C84" i="2"/>
  <c r="AK83" i="2"/>
  <c r="AD83" i="2"/>
  <c r="AC83" i="2"/>
  <c r="AA83" i="2"/>
  <c r="Z83" i="2"/>
  <c r="Y83" i="2"/>
  <c r="M83" i="2"/>
  <c r="D83" i="2"/>
  <c r="C83" i="2"/>
  <c r="AX81" i="2"/>
  <c r="AR81" i="2"/>
  <c r="AL81" i="2"/>
  <c r="AK81" i="2"/>
  <c r="AG81" i="2"/>
  <c r="AE81" i="2"/>
  <c r="AC81" i="2"/>
  <c r="AB81" i="2"/>
  <c r="AA81" i="2"/>
  <c r="Z81" i="2"/>
  <c r="Y81" i="2"/>
  <c r="U81" i="2"/>
  <c r="T81" i="2"/>
  <c r="M81" i="2"/>
  <c r="E81" i="2"/>
  <c r="D81" i="2"/>
  <c r="C81" i="2"/>
  <c r="AC80" i="2"/>
  <c r="AB80" i="2"/>
  <c r="AA80" i="2"/>
  <c r="Z80" i="2"/>
  <c r="Y80" i="2"/>
  <c r="D80" i="2"/>
  <c r="AK79" i="2" l="1"/>
  <c r="AG79" i="2"/>
  <c r="C79" i="2"/>
  <c r="AX78" i="2"/>
  <c r="AW78" i="2"/>
  <c r="AV78" i="2"/>
  <c r="AU78" i="2"/>
  <c r="AT78" i="2"/>
  <c r="AR78" i="2"/>
  <c r="AP78" i="2"/>
  <c r="AL78" i="2"/>
  <c r="AK78" i="2"/>
  <c r="AI78" i="2"/>
  <c r="AC78" i="2"/>
  <c r="AA78" i="2"/>
  <c r="Z78" i="2"/>
  <c r="Y78" i="2"/>
  <c r="U78" i="2"/>
  <c r="T78" i="2"/>
  <c r="S78" i="2"/>
  <c r="R78" i="2"/>
  <c r="N78" i="2"/>
  <c r="M78" i="2"/>
  <c r="G78" i="2"/>
  <c r="F78" i="2"/>
  <c r="E78" i="2"/>
  <c r="D78" i="2"/>
  <c r="C78" i="2"/>
  <c r="AK77" i="2" l="1"/>
  <c r="Y77" i="2"/>
  <c r="AL75" i="2"/>
  <c r="AK75" i="2"/>
  <c r="AC75" i="2"/>
  <c r="Z75" i="2"/>
  <c r="M75" i="2"/>
  <c r="D75" i="2"/>
  <c r="C75" i="2"/>
  <c r="AT73" i="2"/>
  <c r="AR73" i="2"/>
  <c r="AP73" i="2"/>
  <c r="AN73" i="2"/>
  <c r="AK73" i="2"/>
  <c r="AC73" i="2"/>
  <c r="AB73" i="2"/>
  <c r="AA73" i="2"/>
  <c r="Z73" i="2"/>
  <c r="Y73" i="2"/>
  <c r="N73" i="2"/>
  <c r="M73" i="2"/>
  <c r="F73" i="2"/>
  <c r="E73" i="2"/>
  <c r="D73" i="2"/>
  <c r="C73" i="2"/>
  <c r="AX72" i="2" l="1"/>
  <c r="AU72" i="2"/>
  <c r="AL72" i="2"/>
  <c r="AK72" i="2"/>
  <c r="AJ72" i="2"/>
  <c r="AI72" i="2"/>
  <c r="AG72" i="2"/>
  <c r="AC72" i="2"/>
  <c r="AA72" i="2"/>
  <c r="Z72" i="2"/>
  <c r="Y72" i="2"/>
  <c r="W72" i="2"/>
  <c r="M72" i="2"/>
  <c r="E72" i="2"/>
  <c r="D72" i="2"/>
  <c r="C72" i="2"/>
  <c r="AU71" i="2"/>
  <c r="AK71" i="2"/>
  <c r="Z71" i="2"/>
  <c r="Y71" i="2"/>
  <c r="E71" i="2"/>
  <c r="D71" i="2"/>
  <c r="C71" i="2"/>
  <c r="AT70" i="2"/>
  <c r="AK70" i="2"/>
  <c r="AA70" i="2"/>
  <c r="Z70" i="2"/>
  <c r="Y70" i="2"/>
  <c r="C70" i="2"/>
  <c r="AX69" i="2"/>
  <c r="AW69" i="2"/>
  <c r="AU69" i="2"/>
  <c r="AT69" i="2"/>
  <c r="AP69" i="2"/>
  <c r="AL69" i="2"/>
  <c r="AK69" i="2"/>
  <c r="AI69" i="2"/>
  <c r="AD69" i="2"/>
  <c r="AC69" i="2"/>
  <c r="AB69" i="2"/>
  <c r="AA69" i="2"/>
  <c r="Z69" i="2"/>
  <c r="Y69" i="2"/>
  <c r="W69" i="2"/>
  <c r="U69" i="2"/>
  <c r="T69" i="2"/>
  <c r="S69" i="2"/>
  <c r="M69" i="2"/>
  <c r="J69" i="2"/>
  <c r="F69" i="2"/>
  <c r="E69" i="2"/>
  <c r="D69" i="2"/>
  <c r="C69" i="2"/>
  <c r="AK68" i="2"/>
  <c r="AI68" i="2"/>
  <c r="AA68" i="2"/>
  <c r="Z68" i="2"/>
  <c r="Y68" i="2"/>
  <c r="AK67" i="2"/>
  <c r="AG67" i="2"/>
  <c r="AE67" i="2"/>
  <c r="AC67" i="2"/>
  <c r="AA67" i="2"/>
  <c r="Z67" i="2"/>
  <c r="Y67" i="2"/>
  <c r="E67" i="2"/>
  <c r="AV65" i="2"/>
  <c r="AU65" i="2"/>
  <c r="AT65" i="2"/>
  <c r="AK65" i="2"/>
  <c r="AA65" i="2"/>
  <c r="Z65" i="2"/>
  <c r="Y65" i="2"/>
  <c r="E65" i="2"/>
  <c r="D65" i="2"/>
  <c r="C65" i="2"/>
  <c r="X65" i="2"/>
  <c r="AX64" i="2"/>
  <c r="AW64" i="2"/>
  <c r="AV64" i="2"/>
  <c r="AU64" i="2"/>
  <c r="AT64" i="2"/>
  <c r="AR64" i="2"/>
  <c r="AP64" i="2"/>
  <c r="AL64" i="2"/>
  <c r="AK64" i="2"/>
  <c r="AI64" i="2"/>
  <c r="AD64" i="2"/>
  <c r="AC64" i="2"/>
  <c r="AA64" i="2"/>
  <c r="Z64" i="2"/>
  <c r="Y64" i="2"/>
  <c r="U64" i="2"/>
  <c r="T64" i="2"/>
  <c r="S64" i="2"/>
  <c r="R64" i="2"/>
  <c r="N64" i="2"/>
  <c r="M64" i="2"/>
  <c r="J64" i="2"/>
  <c r="G64" i="2"/>
  <c r="F64" i="2"/>
  <c r="E64" i="2"/>
  <c r="D64" i="2"/>
  <c r="C64" i="2"/>
  <c r="AT63" i="2"/>
  <c r="AL63" i="2"/>
  <c r="AK63" i="2"/>
  <c r="AG63" i="2"/>
  <c r="AE63" i="2"/>
  <c r="AC63" i="2"/>
  <c r="AA63" i="2"/>
  <c r="Y63" i="2"/>
  <c r="U63" i="2"/>
  <c r="T63" i="2"/>
  <c r="S63" i="2"/>
  <c r="M63" i="2"/>
  <c r="E63" i="2"/>
  <c r="D63" i="2"/>
  <c r="C63" i="2"/>
  <c r="AK62" i="2"/>
  <c r="AV61" i="2"/>
  <c r="AK61" i="2"/>
  <c r="AC61" i="2"/>
  <c r="Z61" i="2"/>
  <c r="Y61" i="2"/>
  <c r="S61" i="2"/>
  <c r="E61" i="2"/>
  <c r="D61" i="2"/>
  <c r="C61" i="2"/>
  <c r="AR60" i="2"/>
  <c r="AK60" i="2"/>
  <c r="AI60" i="2"/>
  <c r="AE60" i="2"/>
  <c r="AC60" i="2"/>
  <c r="AA60" i="2"/>
  <c r="Y60" i="2"/>
  <c r="T60" i="2"/>
  <c r="Q60" i="2"/>
  <c r="M60" i="2"/>
  <c r="E60" i="2"/>
  <c r="D60" i="2"/>
  <c r="C60" i="2"/>
  <c r="AC59" i="2"/>
  <c r="AA59" i="2"/>
  <c r="Y59" i="2"/>
  <c r="D59" i="2"/>
  <c r="AK58" i="2"/>
  <c r="L57" i="2"/>
  <c r="AT56" i="2"/>
  <c r="AK56" i="2"/>
  <c r="AC56" i="2"/>
  <c r="AB56" i="2"/>
  <c r="AA56" i="2"/>
  <c r="Z56" i="2"/>
  <c r="Y56" i="2"/>
  <c r="T56" i="2"/>
  <c r="M56" i="2"/>
  <c r="E56" i="2"/>
  <c r="D56" i="2"/>
  <c r="Z55" i="2"/>
  <c r="M55" i="2"/>
  <c r="D55" i="2"/>
  <c r="AK54" i="2"/>
  <c r="AI54" i="2"/>
  <c r="AE54" i="2"/>
  <c r="AC54" i="2"/>
  <c r="AA54" i="2"/>
  <c r="Z54" i="2"/>
  <c r="Y54" i="2"/>
  <c r="Q54" i="2"/>
  <c r="E54" i="2"/>
  <c r="D54" i="2"/>
  <c r="C54" i="2"/>
  <c r="AC53" i="2"/>
  <c r="Y53" i="2"/>
  <c r="U53" i="2"/>
  <c r="M53" i="2"/>
  <c r="E53" i="2"/>
  <c r="D53" i="2"/>
  <c r="C53" i="2"/>
  <c r="AT52" i="2"/>
  <c r="AP52" i="2"/>
  <c r="AK52" i="2"/>
  <c r="AJ52" i="2"/>
  <c r="AG52" i="2"/>
  <c r="AE52" i="2"/>
  <c r="AC52" i="2"/>
  <c r="AA52" i="2"/>
  <c r="Z52" i="2"/>
  <c r="Y52" i="2"/>
  <c r="T52" i="2"/>
  <c r="E52" i="2"/>
  <c r="D52" i="2"/>
  <c r="C52" i="2"/>
  <c r="AK51" i="2"/>
  <c r="C50" i="2"/>
  <c r="AX49" i="2"/>
  <c r="AU49" i="2"/>
  <c r="AT49" i="2"/>
  <c r="AN49" i="2"/>
  <c r="AL49" i="2"/>
  <c r="AC49" i="2"/>
  <c r="AA49" i="2"/>
  <c r="Z49" i="2"/>
  <c r="Y49" i="2"/>
  <c r="T49" i="2"/>
  <c r="R49" i="2"/>
  <c r="Q49" i="2"/>
  <c r="N49" i="2"/>
  <c r="M49" i="2"/>
  <c r="K49" i="2"/>
  <c r="J49" i="2"/>
  <c r="E49" i="2"/>
  <c r="D49" i="2"/>
  <c r="C49" i="2"/>
  <c r="AK48" i="2"/>
  <c r="AG48" i="2"/>
  <c r="AE48" i="2"/>
  <c r="AB48" i="2"/>
  <c r="AA48" i="2"/>
  <c r="Z48" i="2"/>
  <c r="Y48" i="2"/>
  <c r="T48" i="2"/>
  <c r="E48" i="2"/>
  <c r="D48" i="2"/>
  <c r="C48" i="2"/>
  <c r="AK47" i="2" l="1"/>
  <c r="AE47" i="2"/>
  <c r="AA47" i="2"/>
  <c r="Z47" i="2"/>
  <c r="Y47" i="2"/>
  <c r="M47" i="2"/>
  <c r="D47" i="2"/>
  <c r="AK46" i="2"/>
  <c r="AA46" i="2"/>
  <c r="Z46" i="2"/>
  <c r="Y46" i="2"/>
  <c r="C46" i="2"/>
  <c r="AU45" i="2"/>
  <c r="AT45" i="2"/>
  <c r="AL45" i="2"/>
  <c r="AS45" i="2" s="1"/>
  <c r="AE45" i="2"/>
  <c r="AC45" i="2"/>
  <c r="AA45" i="2"/>
  <c r="Z45" i="2"/>
  <c r="Y45" i="2"/>
  <c r="R45" i="2"/>
  <c r="Q45" i="2"/>
  <c r="N45" i="2"/>
  <c r="M45" i="2"/>
  <c r="F45" i="2"/>
  <c r="E45" i="2"/>
  <c r="D45" i="2"/>
  <c r="C45" i="2"/>
  <c r="AX44" i="2"/>
  <c r="AT44" i="2"/>
  <c r="AP44" i="2"/>
  <c r="AC44" i="2"/>
  <c r="AA44" i="2"/>
  <c r="Z44" i="2"/>
  <c r="Y44" i="2"/>
  <c r="R44" i="2"/>
  <c r="Q44" i="2"/>
  <c r="N44" i="2"/>
  <c r="M44" i="2"/>
  <c r="K44" i="2"/>
  <c r="G44" i="2"/>
  <c r="F44" i="2"/>
  <c r="E44" i="2"/>
  <c r="D44" i="2"/>
  <c r="AR42" i="2"/>
  <c r="AK42" i="2"/>
  <c r="AC42" i="2"/>
  <c r="Z42" i="2"/>
  <c r="Y42" i="2"/>
  <c r="M42" i="2"/>
  <c r="D42" i="2"/>
  <c r="AK40" i="2"/>
  <c r="L40" i="2"/>
  <c r="P40" i="2"/>
  <c r="AT39" i="2"/>
  <c r="AL39" i="2"/>
  <c r="AC39" i="2"/>
  <c r="AB39" i="2"/>
  <c r="Z39" i="2"/>
  <c r="Y39" i="2"/>
  <c r="U39" i="2"/>
  <c r="T39" i="2"/>
  <c r="S39" i="2"/>
  <c r="F39" i="2"/>
  <c r="M39" i="2"/>
  <c r="E39" i="2"/>
  <c r="D39" i="2"/>
  <c r="AK38" i="2"/>
  <c r="AE38" i="2"/>
  <c r="AU37" i="2"/>
  <c r="AK37" i="2"/>
  <c r="AC37" i="2"/>
  <c r="AA37" i="2"/>
  <c r="Z37" i="2"/>
  <c r="Y37" i="2"/>
  <c r="Q37" i="2"/>
  <c r="M37" i="2"/>
  <c r="F37" i="2"/>
  <c r="E37" i="2"/>
  <c r="D37" i="2"/>
  <c r="C37" i="2"/>
  <c r="AK36" i="2"/>
  <c r="AI36" i="2"/>
  <c r="AA36" i="2"/>
  <c r="Y36" i="2"/>
  <c r="C36" i="2"/>
  <c r="AX35" i="2"/>
  <c r="AW35" i="2"/>
  <c r="AU35" i="2"/>
  <c r="AT35" i="2"/>
  <c r="AR35" i="2"/>
  <c r="AK35" i="2"/>
  <c r="AE35" i="2"/>
  <c r="AA35" i="2"/>
  <c r="Z35" i="2"/>
  <c r="Y35" i="2"/>
  <c r="W35" i="2"/>
  <c r="U35" i="2"/>
  <c r="S35" i="2"/>
  <c r="M35" i="2"/>
  <c r="J35" i="2"/>
  <c r="G35" i="2"/>
  <c r="F35" i="2"/>
  <c r="E35" i="2"/>
  <c r="D35" i="2"/>
  <c r="C35" i="2"/>
  <c r="AK33" i="2"/>
  <c r="AI33" i="2"/>
  <c r="AK32" i="2"/>
  <c r="AE32" i="2"/>
  <c r="AC32" i="2"/>
  <c r="Z32" i="2"/>
  <c r="Y32" i="2"/>
  <c r="M32" i="2"/>
  <c r="E32" i="2"/>
  <c r="D32" i="2"/>
  <c r="C32" i="2"/>
  <c r="AK31" i="2" l="1"/>
  <c r="AI31" i="2"/>
  <c r="AA31" i="2"/>
  <c r="Z31" i="2"/>
  <c r="Y31" i="2"/>
  <c r="M31" i="2"/>
  <c r="E31" i="2"/>
  <c r="D31" i="2"/>
  <c r="C31" i="2"/>
  <c r="AW29" i="2"/>
  <c r="AV29" i="2"/>
  <c r="AU29" i="2"/>
  <c r="AT29" i="2"/>
  <c r="AP29" i="2"/>
  <c r="AL29" i="2"/>
  <c r="AK29" i="2"/>
  <c r="AE29" i="2"/>
  <c r="AC29" i="2"/>
  <c r="AA29" i="2"/>
  <c r="Z29" i="2"/>
  <c r="Y29" i="2"/>
  <c r="W29" i="2"/>
  <c r="U29" i="2"/>
  <c r="T29" i="2"/>
  <c r="S29" i="2"/>
  <c r="R29" i="2"/>
  <c r="Q29" i="2"/>
  <c r="N29" i="2"/>
  <c r="M29" i="2"/>
  <c r="F29" i="2"/>
  <c r="E29" i="2"/>
  <c r="D29" i="2"/>
  <c r="C29" i="2"/>
  <c r="AW28" i="2"/>
  <c r="AV28" i="2"/>
  <c r="AU28" i="2"/>
  <c r="AT28" i="2"/>
  <c r="AR28" i="2"/>
  <c r="AQ28" i="2"/>
  <c r="AP28" i="2"/>
  <c r="AN28" i="2"/>
  <c r="AM28" i="2"/>
  <c r="AL28" i="2"/>
  <c r="AK28" i="2"/>
  <c r="AI28" i="2"/>
  <c r="AE28" i="2"/>
  <c r="AD28" i="2"/>
  <c r="AC28" i="2"/>
  <c r="AB28" i="2"/>
  <c r="AA28" i="2"/>
  <c r="Z28" i="2"/>
  <c r="Y28" i="2"/>
  <c r="U28" i="2"/>
  <c r="T28" i="2"/>
  <c r="S28" i="2"/>
  <c r="Q28" i="2"/>
  <c r="N28" i="2"/>
  <c r="M28" i="2"/>
  <c r="G28" i="2"/>
  <c r="F28" i="2"/>
  <c r="E28" i="2"/>
  <c r="D28" i="2"/>
  <c r="C28" i="2"/>
  <c r="AV27" i="2"/>
  <c r="AU27" i="2"/>
  <c r="AT27" i="2"/>
  <c r="AO27" i="2"/>
  <c r="AN27" i="2"/>
  <c r="AM27" i="2"/>
  <c r="AE27" i="2"/>
  <c r="AD27" i="2"/>
  <c r="AC27" i="2"/>
  <c r="AB27" i="2"/>
  <c r="AA27" i="2"/>
  <c r="Z27" i="2"/>
  <c r="Y27" i="2"/>
  <c r="T27" i="2"/>
  <c r="S27" i="2"/>
  <c r="M27" i="2"/>
  <c r="F27" i="2"/>
  <c r="E27" i="2"/>
  <c r="D27" i="2"/>
  <c r="C27" i="2"/>
  <c r="AT26" i="2"/>
  <c r="AN26" i="2"/>
  <c r="AL26" i="2"/>
  <c r="AG26" i="2"/>
  <c r="AC26" i="2"/>
  <c r="AA26" i="2"/>
  <c r="Z26" i="2"/>
  <c r="Y26" i="2"/>
  <c r="F26" i="2"/>
  <c r="E26" i="2"/>
  <c r="D26" i="2"/>
  <c r="C26" i="2"/>
  <c r="AK25" i="2"/>
  <c r="AC25" i="2"/>
  <c r="AA25" i="2"/>
  <c r="Z25" i="2"/>
  <c r="Y25" i="2"/>
  <c r="P24" i="2"/>
  <c r="AK23" i="2"/>
  <c r="AJ23" i="2"/>
  <c r="AI23" i="2"/>
  <c r="AE23" i="2"/>
  <c r="AD23" i="2"/>
  <c r="AC23" i="2"/>
  <c r="AB23" i="2"/>
  <c r="AA23" i="2"/>
  <c r="Z23" i="2"/>
  <c r="Y23" i="2"/>
  <c r="C23" i="2"/>
  <c r="AL21" i="2"/>
  <c r="AK21" i="2"/>
  <c r="AE21" i="2"/>
  <c r="AA21" i="2"/>
  <c r="Z21" i="2"/>
  <c r="Y21" i="2"/>
  <c r="U21" i="2"/>
  <c r="T21" i="2"/>
  <c r="M21" i="2"/>
  <c r="E21" i="2"/>
  <c r="D21" i="2"/>
  <c r="C21" i="2"/>
  <c r="AK20" i="2"/>
  <c r="AB20" i="2"/>
  <c r="Z20" i="2"/>
  <c r="Y20" i="2"/>
  <c r="E20" i="2"/>
  <c r="D20" i="2"/>
  <c r="C20" i="2"/>
  <c r="AX19" i="2"/>
  <c r="AV19" i="2"/>
  <c r="AU19" i="2"/>
  <c r="AT19" i="2"/>
  <c r="AQ19" i="2"/>
  <c r="AO19" i="2"/>
  <c r="AN19" i="2"/>
  <c r="AM19" i="2"/>
  <c r="AL19" i="2"/>
  <c r="AK19" i="2"/>
  <c r="AC19" i="2"/>
  <c r="AB19" i="2"/>
  <c r="AA19" i="2"/>
  <c r="Z19" i="2"/>
  <c r="Y19" i="2"/>
  <c r="U19" i="2"/>
  <c r="T19" i="2"/>
  <c r="S19" i="2"/>
  <c r="R19" i="2"/>
  <c r="Q19" i="2"/>
  <c r="N19" i="2"/>
  <c r="M19" i="2"/>
  <c r="G19" i="2"/>
  <c r="E19" i="2"/>
  <c r="D19" i="2"/>
  <c r="AK18" i="2"/>
  <c r="AI17" i="2"/>
  <c r="AA17" i="2"/>
  <c r="Z17" i="2"/>
  <c r="Y17" i="2"/>
  <c r="C17" i="2"/>
  <c r="AR16" i="2"/>
  <c r="AC16" i="2"/>
  <c r="Z16" i="2"/>
  <c r="Y16" i="2"/>
  <c r="M16" i="2"/>
  <c r="D16" i="2"/>
  <c r="C16" i="2"/>
  <c r="AK15" i="2"/>
  <c r="AA15" i="2"/>
  <c r="Z15" i="2"/>
  <c r="Y15" i="2"/>
  <c r="E15" i="2"/>
  <c r="D15" i="2"/>
  <c r="C15" i="2"/>
  <c r="AX13" i="2"/>
  <c r="AU13" i="2"/>
  <c r="AP13" i="2"/>
  <c r="AL13" i="2"/>
  <c r="AK13" i="2"/>
  <c r="AE13" i="2"/>
  <c r="AD13" i="2"/>
  <c r="AC13" i="2"/>
  <c r="AB13" i="2"/>
  <c r="Z13" i="2"/>
  <c r="Y13" i="2"/>
  <c r="U13" i="2"/>
  <c r="T13" i="2"/>
  <c r="N13" i="2"/>
  <c r="M13" i="2"/>
  <c r="E13" i="2"/>
  <c r="D13" i="2"/>
  <c r="C13" i="2"/>
  <c r="AV12" i="2"/>
  <c r="AU12" i="2"/>
  <c r="AT12" i="2"/>
  <c r="AO12" i="2"/>
  <c r="AN12" i="2"/>
  <c r="AK12" i="2"/>
  <c r="AI12" i="2"/>
  <c r="AD12" i="2"/>
  <c r="AC12" i="2"/>
  <c r="AB12" i="2"/>
  <c r="AA12" i="2"/>
  <c r="Z12" i="2"/>
  <c r="Y12" i="2"/>
  <c r="W12" i="2"/>
  <c r="T12" i="2"/>
  <c r="S12" i="2"/>
  <c r="M12" i="2"/>
  <c r="E12" i="2"/>
  <c r="D12" i="2"/>
  <c r="C12" i="2"/>
  <c r="AK10" i="2"/>
  <c r="AJ10" i="2"/>
  <c r="AI10" i="2"/>
  <c r="Z10" i="2"/>
  <c r="Y10" i="2"/>
  <c r="M10" i="2"/>
  <c r="D10" i="2"/>
  <c r="C10" i="2"/>
  <c r="AK9" i="2" l="1"/>
  <c r="AI9" i="2"/>
  <c r="Z9" i="2"/>
  <c r="Y9" i="2"/>
  <c r="C9" i="2"/>
  <c r="AK8" i="2"/>
  <c r="AE8" i="2"/>
  <c r="AC8" i="2"/>
  <c r="Z8" i="2"/>
  <c r="Y8" i="2"/>
  <c r="M8" i="2"/>
  <c r="E8" i="2"/>
  <c r="D8" i="2"/>
  <c r="C8" i="2"/>
  <c r="AK7" i="2"/>
  <c r="AS7" i="2"/>
  <c r="AK6" i="2"/>
  <c r="AI6" i="2"/>
  <c r="AC6" i="2"/>
  <c r="AA6" i="2"/>
  <c r="Z6" i="2"/>
  <c r="Y6" i="2"/>
  <c r="M6" i="2"/>
  <c r="E6" i="2"/>
  <c r="D6" i="2"/>
  <c r="C6" i="2"/>
  <c r="AU4" i="2"/>
  <c r="AT4" i="2"/>
  <c r="AR4" i="2"/>
  <c r="AP4" i="2"/>
  <c r="AL4" i="2"/>
  <c r="AK4" i="2"/>
  <c r="AE4" i="2"/>
  <c r="AC4" i="2"/>
  <c r="AB4" i="2"/>
  <c r="AA4" i="2"/>
  <c r="Z4" i="2"/>
  <c r="Y4" i="2"/>
  <c r="R4" i="2"/>
  <c r="Q4" i="2"/>
  <c r="N4" i="2"/>
  <c r="M4" i="2"/>
  <c r="K4" i="2"/>
  <c r="G4" i="2"/>
  <c r="F4" i="2"/>
  <c r="E4" i="2"/>
  <c r="D4" i="2"/>
  <c r="C4" i="2"/>
  <c r="AO109" i="1"/>
  <c r="AM109" i="1"/>
  <c r="AL109" i="1"/>
  <c r="AK109" i="1"/>
  <c r="AE109" i="1"/>
  <c r="AC109" i="1"/>
  <c r="AB109" i="1"/>
  <c r="AA109" i="1"/>
  <c r="Z109" i="1"/>
  <c r="Y109" i="1"/>
  <c r="U109" i="1"/>
  <c r="T109" i="1"/>
  <c r="Q109" i="1"/>
  <c r="M109" i="1"/>
  <c r="E109" i="1"/>
  <c r="D109" i="1"/>
  <c r="C109" i="1"/>
  <c r="O110" i="1"/>
  <c r="AO108" i="1"/>
  <c r="AM108" i="1"/>
  <c r="AK108" i="1"/>
  <c r="AJ108" i="1"/>
  <c r="AI108" i="1"/>
  <c r="AF108" i="1"/>
  <c r="AE108" i="1"/>
  <c r="AC108" i="1"/>
  <c r="AA108" i="1"/>
  <c r="Z108" i="1"/>
  <c r="Y108" i="1"/>
  <c r="V108" i="1"/>
  <c r="U108" i="1"/>
  <c r="T108" i="1"/>
  <c r="S108" i="1"/>
  <c r="R108" i="1"/>
  <c r="Q108" i="1"/>
  <c r="N108" i="1"/>
  <c r="M108" i="1"/>
  <c r="E108" i="1"/>
  <c r="D108" i="1"/>
  <c r="C108" i="1"/>
  <c r="AS107" i="1"/>
  <c r="AQ107" i="1"/>
  <c r="AP107" i="1"/>
  <c r="AO107" i="1"/>
  <c r="AL107" i="1"/>
  <c r="AK107" i="1"/>
  <c r="AJ107" i="1"/>
  <c r="AI107" i="1"/>
  <c r="AH107" i="1"/>
  <c r="AG107" i="1"/>
  <c r="AF107" i="1"/>
  <c r="AE107" i="1"/>
  <c r="AC107" i="1"/>
  <c r="AB107" i="1"/>
  <c r="AA107" i="1"/>
  <c r="Z107" i="1"/>
  <c r="Y107" i="1"/>
  <c r="U107" i="1"/>
  <c r="T107" i="1"/>
  <c r="R107" i="1"/>
  <c r="Q107" i="1"/>
  <c r="N107" i="1"/>
  <c r="M107" i="1"/>
  <c r="K107" i="1"/>
  <c r="G107" i="1"/>
  <c r="F107" i="1"/>
  <c r="E107" i="1"/>
  <c r="D107" i="1"/>
  <c r="C107" i="1"/>
  <c r="AU106" i="1"/>
  <c r="AQ106" i="1"/>
  <c r="AP106" i="1"/>
  <c r="AO106" i="1"/>
  <c r="AK106" i="1"/>
  <c r="AE106" i="1"/>
  <c r="AC106" i="1"/>
  <c r="AB106" i="1"/>
  <c r="AA106" i="1"/>
  <c r="Z106" i="1"/>
  <c r="Y106" i="1"/>
  <c r="T106" i="1"/>
  <c r="Q106" i="1"/>
  <c r="N106" i="1"/>
  <c r="M106" i="1"/>
  <c r="E106" i="1"/>
  <c r="D106" i="1"/>
  <c r="C106" i="1"/>
  <c r="AQ105" i="1"/>
  <c r="AO105" i="1"/>
  <c r="AK105" i="1"/>
  <c r="AI105" i="1"/>
  <c r="AH105" i="1"/>
  <c r="AG105" i="1"/>
  <c r="AE105" i="1"/>
  <c r="AB105" i="1"/>
  <c r="AA105" i="1"/>
  <c r="Z105" i="1"/>
  <c r="Y105" i="1"/>
  <c r="U105" i="1"/>
  <c r="T105" i="1"/>
  <c r="Q105" i="1"/>
  <c r="N105" i="1"/>
  <c r="M105" i="1"/>
  <c r="F105" i="1"/>
  <c r="E105" i="1"/>
  <c r="D105" i="1"/>
  <c r="C105" i="1"/>
  <c r="AU104" i="1"/>
  <c r="AT104" i="1"/>
  <c r="AP104" i="1"/>
  <c r="AO104" i="1"/>
  <c r="AM104" i="1"/>
  <c r="AI104" i="1"/>
  <c r="AH104" i="1"/>
  <c r="AE104" i="1"/>
  <c r="AD104" i="1"/>
  <c r="AC104" i="1"/>
  <c r="AB104" i="1"/>
  <c r="AA104" i="1"/>
  <c r="Z104" i="1"/>
  <c r="Y104" i="1"/>
  <c r="T104" i="1"/>
  <c r="S104" i="1"/>
  <c r="Q104" i="1"/>
  <c r="M104" i="1"/>
  <c r="E104" i="1"/>
  <c r="D104" i="1"/>
  <c r="C104" i="1"/>
  <c r="AU103" i="1"/>
  <c r="Z103" i="1"/>
  <c r="D103" i="1"/>
  <c r="C103" i="1"/>
  <c r="AO102" i="1"/>
  <c r="AM102" i="1"/>
  <c r="AJ102" i="1"/>
  <c r="AI102" i="1"/>
  <c r="AH102" i="1"/>
  <c r="AF102" i="1"/>
  <c r="AE102" i="1"/>
  <c r="Z102" i="1"/>
  <c r="Y102" i="1"/>
  <c r="N102" i="1"/>
  <c r="M102" i="1"/>
  <c r="E102" i="1"/>
  <c r="D102" i="1"/>
  <c r="C102" i="1"/>
  <c r="AU101" i="1"/>
  <c r="AT101" i="1"/>
  <c r="AQ101" i="1"/>
  <c r="AP101" i="1"/>
  <c r="AO101" i="1"/>
  <c r="AN101" i="1"/>
  <c r="AM101" i="1"/>
  <c r="AL101" i="1"/>
  <c r="AK101" i="1"/>
  <c r="AH101" i="1"/>
  <c r="AE101" i="1"/>
  <c r="AC101" i="1"/>
  <c r="AB101" i="1"/>
  <c r="AA101" i="1"/>
  <c r="Z101" i="1"/>
  <c r="Y101" i="1"/>
  <c r="W101" i="1"/>
  <c r="U101" i="1"/>
  <c r="T101" i="1"/>
  <c r="S101" i="1"/>
  <c r="Q101" i="1"/>
  <c r="N101" i="1"/>
  <c r="P101" i="1" s="1"/>
  <c r="M101" i="1"/>
  <c r="K101" i="1"/>
  <c r="J101" i="1"/>
  <c r="I101" i="1"/>
  <c r="G101" i="1"/>
  <c r="F101" i="1"/>
  <c r="E101" i="1"/>
  <c r="D101" i="1"/>
  <c r="C101" i="1"/>
  <c r="AC100" i="1"/>
  <c r="AA100" i="1"/>
  <c r="Z100" i="1"/>
  <c r="Y100" i="1"/>
  <c r="W100" i="1"/>
  <c r="M100" i="1"/>
  <c r="J100" i="1"/>
  <c r="G100" i="1"/>
  <c r="F100" i="1"/>
  <c r="E100" i="1"/>
  <c r="D100" i="1"/>
  <c r="AO99" i="1"/>
  <c r="AM99" i="1"/>
  <c r="AH99" i="1"/>
  <c r="AF99" i="1"/>
  <c r="AE99" i="1"/>
  <c r="Y99" i="1"/>
  <c r="U99" i="1"/>
  <c r="T99" i="1"/>
  <c r="S99" i="1"/>
  <c r="N99" i="1"/>
  <c r="M99" i="1"/>
  <c r="F99" i="1"/>
  <c r="E99" i="1"/>
  <c r="D99" i="1"/>
  <c r="C99" i="1"/>
  <c r="AP98" i="1"/>
  <c r="AO98" i="1"/>
  <c r="AM98" i="1"/>
  <c r="AL98" i="1"/>
  <c r="AK98" i="1"/>
  <c r="AI98" i="1"/>
  <c r="AE98" i="1"/>
  <c r="AC98" i="1"/>
  <c r="AB98" i="1"/>
  <c r="AA98" i="1"/>
  <c r="Z98" i="1"/>
  <c r="Y98" i="1"/>
  <c r="W98" i="1"/>
  <c r="U98" i="1"/>
  <c r="T98" i="1"/>
  <c r="S98" i="1"/>
  <c r="R98" i="1"/>
  <c r="Q98" i="1"/>
  <c r="N98" i="1"/>
  <c r="M98" i="1"/>
  <c r="K98" i="1"/>
  <c r="G98" i="1"/>
  <c r="F98" i="1"/>
  <c r="E98" i="1"/>
  <c r="D98" i="1"/>
  <c r="C98" i="1"/>
  <c r="AO97" i="1"/>
  <c r="AN97" i="1"/>
  <c r="AM97" i="1"/>
  <c r="AC97" i="1"/>
  <c r="Z97" i="1"/>
  <c r="Y97" i="1"/>
  <c r="AQ96" i="1"/>
  <c r="AP96" i="1"/>
  <c r="AO96" i="1"/>
  <c r="AM96" i="1"/>
  <c r="AL96" i="1"/>
  <c r="AK96" i="1"/>
  <c r="AE96" i="1"/>
  <c r="AC96" i="1"/>
  <c r="AB96" i="1"/>
  <c r="AA96" i="1"/>
  <c r="Z96" i="1"/>
  <c r="Y96" i="1"/>
  <c r="T96" i="1"/>
  <c r="S96" i="1"/>
  <c r="Q96" i="1"/>
  <c r="N96" i="1"/>
  <c r="M96" i="1"/>
  <c r="D96" i="1"/>
  <c r="C96" i="1"/>
  <c r="AO95" i="1"/>
  <c r="AK95" i="1"/>
  <c r="AE95" i="1"/>
  <c r="AB95" i="1"/>
  <c r="AA95" i="1"/>
  <c r="Z95" i="1"/>
  <c r="Y95" i="1"/>
  <c r="U95" i="1"/>
  <c r="T95" i="1"/>
  <c r="Q95" i="1"/>
  <c r="N95" i="1"/>
  <c r="M95" i="1"/>
  <c r="E95" i="1"/>
  <c r="D95" i="1"/>
  <c r="C95" i="1"/>
  <c r="AT94" i="1"/>
  <c r="AS94" i="1"/>
  <c r="AO94" i="1"/>
  <c r="AM94" i="1"/>
  <c r="AE94" i="1"/>
  <c r="AC94" i="1"/>
  <c r="AB94" i="1"/>
  <c r="AA94" i="1"/>
  <c r="Z94" i="1"/>
  <c r="Y94" i="1"/>
  <c r="V94" i="1"/>
  <c r="U94" i="1"/>
  <c r="T94" i="1"/>
  <c r="S94" i="1"/>
  <c r="R94" i="1"/>
  <c r="Q94" i="1"/>
  <c r="N94" i="1"/>
  <c r="M94" i="1"/>
  <c r="G94" i="1"/>
  <c r="F94" i="1"/>
  <c r="E94" i="1"/>
  <c r="D94" i="1"/>
  <c r="C94" i="1"/>
  <c r="AK93" i="1"/>
  <c r="AJ93" i="1"/>
  <c r="AI93" i="1"/>
  <c r="AH93" i="1"/>
  <c r="AG93" i="1"/>
  <c r="AE93" i="1"/>
  <c r="AC93" i="1"/>
  <c r="AA93" i="1"/>
  <c r="Z93" i="1"/>
  <c r="Y93" i="1"/>
  <c r="V93" i="1"/>
  <c r="U93" i="1"/>
  <c r="T93" i="1"/>
  <c r="S93" i="1"/>
  <c r="Q93" i="1"/>
  <c r="N93" i="1"/>
  <c r="M93" i="1"/>
  <c r="E93" i="1"/>
  <c r="D93" i="1"/>
  <c r="C93" i="1"/>
  <c r="AQ92" i="1"/>
  <c r="AO92" i="1"/>
  <c r="AF92" i="1"/>
  <c r="AE92" i="1"/>
  <c r="AC92" i="1"/>
  <c r="AB92" i="1"/>
  <c r="AA92" i="1"/>
  <c r="Z92" i="1"/>
  <c r="Y92" i="1"/>
  <c r="T92" i="1"/>
  <c r="Q92" i="1"/>
  <c r="M92" i="1"/>
  <c r="F92" i="1"/>
  <c r="E92" i="1"/>
  <c r="D92" i="1"/>
  <c r="AE91" i="1"/>
  <c r="AC91" i="1"/>
  <c r="AB91" i="1"/>
  <c r="AA91" i="1"/>
  <c r="Z91" i="1"/>
  <c r="Y91" i="1"/>
  <c r="U91" i="1"/>
  <c r="T91" i="1"/>
  <c r="S91" i="1"/>
  <c r="N91" i="1"/>
  <c r="M91" i="1"/>
  <c r="H91" i="1"/>
  <c r="F91" i="1"/>
  <c r="E91" i="1"/>
  <c r="D91" i="1"/>
  <c r="C91" i="1"/>
  <c r="C90" i="1"/>
  <c r="AU90" i="1"/>
  <c r="AT90" i="1"/>
  <c r="AS90" i="1"/>
  <c r="AO90" i="1"/>
  <c r="AK90" i="1"/>
  <c r="AH90" i="1"/>
  <c r="AE90" i="1"/>
  <c r="AD90" i="1"/>
  <c r="AC90" i="1"/>
  <c r="AB90" i="1"/>
  <c r="AA90" i="1"/>
  <c r="Z90" i="1"/>
  <c r="Y90" i="1"/>
  <c r="U90" i="1"/>
  <c r="T90" i="1"/>
  <c r="S90" i="1"/>
  <c r="M90" i="1"/>
  <c r="G90" i="1"/>
  <c r="F90" i="1"/>
  <c r="E90" i="1"/>
  <c r="D90" i="1"/>
  <c r="P107" i="1" l="1"/>
  <c r="X101" i="1"/>
  <c r="L101" i="1"/>
  <c r="AQ89" i="1"/>
  <c r="AO89" i="1"/>
  <c r="AI89" i="1"/>
  <c r="AH89" i="1"/>
  <c r="AG89" i="1"/>
  <c r="AE89" i="1"/>
  <c r="AC89" i="1"/>
  <c r="AB89" i="1"/>
  <c r="AA89" i="1"/>
  <c r="Z89" i="1"/>
  <c r="Y89" i="1"/>
  <c r="U89" i="1"/>
  <c r="T89" i="1"/>
  <c r="S89" i="1"/>
  <c r="M89" i="1"/>
  <c r="F89" i="1"/>
  <c r="E89" i="1"/>
  <c r="D89" i="1"/>
  <c r="C89" i="1"/>
  <c r="AT88" i="1"/>
  <c r="AP88" i="1"/>
  <c r="AO88" i="1"/>
  <c r="AK88" i="1"/>
  <c r="AE88" i="1"/>
  <c r="AC88" i="1"/>
  <c r="AB88" i="1"/>
  <c r="AA88" i="1"/>
  <c r="Z88" i="1"/>
  <c r="Y88" i="1"/>
  <c r="T88" i="1"/>
  <c r="S88" i="1"/>
  <c r="N88" i="1"/>
  <c r="M88" i="1"/>
  <c r="F88" i="1"/>
  <c r="E88" i="1"/>
  <c r="D88" i="1"/>
  <c r="C88" i="1"/>
  <c r="AU87" i="1"/>
  <c r="AT87" i="1"/>
  <c r="AQ87" i="1"/>
  <c r="AP87" i="1"/>
  <c r="AO87" i="1"/>
  <c r="AM87" i="1"/>
  <c r="AK87" i="1"/>
  <c r="AJ87" i="1"/>
  <c r="AI87" i="1"/>
  <c r="AG87" i="1"/>
  <c r="AF87" i="1"/>
  <c r="AE87" i="1"/>
  <c r="AD87" i="1"/>
  <c r="AC87" i="1"/>
  <c r="AB87" i="1"/>
  <c r="AA87" i="1"/>
  <c r="Z87" i="1"/>
  <c r="Y87" i="1"/>
  <c r="W87" i="1"/>
  <c r="V87" i="1"/>
  <c r="U87" i="1"/>
  <c r="T87" i="1"/>
  <c r="S87" i="1"/>
  <c r="R87" i="1"/>
  <c r="Q87" i="1"/>
  <c r="N87" i="1"/>
  <c r="M87" i="1"/>
  <c r="K87" i="1"/>
  <c r="J87" i="1"/>
  <c r="G87" i="1"/>
  <c r="E87" i="1"/>
  <c r="D87" i="1"/>
  <c r="C87" i="1"/>
  <c r="AP86" i="1"/>
  <c r="AO86" i="1"/>
  <c r="AL86" i="1"/>
  <c r="AK86" i="1"/>
  <c r="AE86" i="1"/>
  <c r="AC86" i="1"/>
  <c r="AB86" i="1"/>
  <c r="AA86" i="1"/>
  <c r="Z86" i="1"/>
  <c r="Y86" i="1"/>
  <c r="V86" i="1"/>
  <c r="U86" i="1"/>
  <c r="T86" i="1"/>
  <c r="S86" i="1"/>
  <c r="R86" i="1"/>
  <c r="Q86" i="1"/>
  <c r="N86" i="1"/>
  <c r="M86" i="1"/>
  <c r="H86" i="1"/>
  <c r="G86" i="1"/>
  <c r="F86" i="1"/>
  <c r="E86" i="1"/>
  <c r="D86" i="1"/>
  <c r="C86" i="1"/>
  <c r="AQ85" i="1"/>
  <c r="AP85" i="1"/>
  <c r="AN85" i="1"/>
  <c r="AE85" i="1"/>
  <c r="AC85" i="1"/>
  <c r="AB85" i="1"/>
  <c r="AA85" i="1"/>
  <c r="Z85" i="1"/>
  <c r="Y85" i="1"/>
  <c r="U85" i="1"/>
  <c r="T85" i="1"/>
  <c r="S85" i="1"/>
  <c r="M85" i="1"/>
  <c r="F85" i="1"/>
  <c r="E85" i="1"/>
  <c r="D85" i="1"/>
  <c r="C85" i="1"/>
  <c r="AU84" i="1"/>
  <c r="AQ84" i="1"/>
  <c r="AP84" i="1"/>
  <c r="AO84" i="1"/>
  <c r="AH84" i="1"/>
  <c r="AE84" i="1"/>
  <c r="AC84" i="1"/>
  <c r="AB84" i="1"/>
  <c r="AA84" i="1"/>
  <c r="Z84" i="1"/>
  <c r="Y84" i="1"/>
  <c r="U84" i="1"/>
  <c r="T84" i="1"/>
  <c r="S84" i="1"/>
  <c r="R84" i="1"/>
  <c r="Q84" i="1"/>
  <c r="N84" i="1"/>
  <c r="M84" i="1"/>
  <c r="G84" i="1"/>
  <c r="F84" i="1"/>
  <c r="E84" i="1"/>
  <c r="D84" i="1"/>
  <c r="C84" i="1"/>
  <c r="AU83" i="1"/>
  <c r="AG83" i="1"/>
  <c r="AE83" i="1"/>
  <c r="AC83" i="1"/>
  <c r="AB83" i="1"/>
  <c r="AA83" i="1"/>
  <c r="Z83" i="1"/>
  <c r="Y83" i="1"/>
  <c r="T83" i="1"/>
  <c r="E83" i="1"/>
  <c r="D83" i="1"/>
  <c r="C83" i="1"/>
  <c r="AO82" i="1"/>
  <c r="AM82" i="1"/>
  <c r="AL82" i="1"/>
  <c r="AK82" i="1"/>
  <c r="AI82" i="1"/>
  <c r="AH82" i="1"/>
  <c r="AE82" i="1"/>
  <c r="AC82" i="1"/>
  <c r="AA82" i="1"/>
  <c r="Z82" i="1"/>
  <c r="Y82" i="1"/>
  <c r="U82" i="1"/>
  <c r="X82" i="1" s="1"/>
  <c r="T82" i="1"/>
  <c r="M82" i="1"/>
  <c r="E82" i="1"/>
  <c r="D82" i="1"/>
  <c r="C82" i="1"/>
  <c r="AQ81" i="1"/>
  <c r="AO81" i="1"/>
  <c r="AM81" i="1"/>
  <c r="AC81" i="1"/>
  <c r="AA81" i="1"/>
  <c r="Z81" i="1"/>
  <c r="Y81" i="1"/>
  <c r="U81" i="1"/>
  <c r="T81" i="1"/>
  <c r="S81" i="1"/>
  <c r="M81" i="1"/>
  <c r="G81" i="1"/>
  <c r="F81" i="1"/>
  <c r="E81" i="1"/>
  <c r="D81" i="1"/>
  <c r="L84" i="1" l="1"/>
  <c r="AU80" i="1"/>
  <c r="AT80" i="1"/>
  <c r="AQ80" i="1"/>
  <c r="AP80" i="1"/>
  <c r="AO80" i="1"/>
  <c r="AE80" i="1"/>
  <c r="AA80" i="1"/>
  <c r="Z80" i="1"/>
  <c r="Y80" i="1"/>
  <c r="T80" i="1"/>
  <c r="Q80" i="1"/>
  <c r="M80" i="1"/>
  <c r="F80" i="1"/>
  <c r="D80" i="1"/>
  <c r="C80" i="1"/>
  <c r="AO79" i="1"/>
  <c r="AE79" i="1"/>
  <c r="AC79" i="1"/>
  <c r="AA79" i="1"/>
  <c r="Y79" i="1"/>
  <c r="D79" i="1"/>
  <c r="C79" i="1"/>
  <c r="X79" i="1"/>
  <c r="AU78" i="1"/>
  <c r="AL78" i="1"/>
  <c r="AK78" i="1"/>
  <c r="AJ78" i="1"/>
  <c r="AI78" i="1"/>
  <c r="AH78" i="1"/>
  <c r="AF78" i="1"/>
  <c r="AC78" i="1"/>
  <c r="AB78" i="1"/>
  <c r="AA78" i="1"/>
  <c r="Z78" i="1"/>
  <c r="Y78" i="1"/>
  <c r="U78" i="1"/>
  <c r="T78" i="1"/>
  <c r="Q78" i="1"/>
  <c r="M78" i="1"/>
  <c r="F78" i="1"/>
  <c r="E78" i="1"/>
  <c r="D78" i="1"/>
  <c r="C78" i="1"/>
  <c r="AP77" i="1"/>
  <c r="AO77" i="1"/>
  <c r="AM77" i="1"/>
  <c r="AE77" i="1"/>
  <c r="AC77" i="1"/>
  <c r="AB77" i="1"/>
  <c r="AA77" i="1"/>
  <c r="Z77" i="1"/>
  <c r="Y77" i="1"/>
  <c r="U77" i="1"/>
  <c r="T77" i="1"/>
  <c r="S77" i="1"/>
  <c r="Q77" i="1"/>
  <c r="M77" i="1"/>
  <c r="E77" i="1"/>
  <c r="D77" i="1"/>
  <c r="C77" i="1"/>
  <c r="L77" i="1"/>
  <c r="AA76" i="1"/>
  <c r="Z76" i="1"/>
  <c r="Y76" i="1"/>
  <c r="D76" i="1"/>
  <c r="AT75" i="1"/>
  <c r="AO75" i="1"/>
  <c r="AM75" i="1"/>
  <c r="AK75" i="1"/>
  <c r="AI75" i="1"/>
  <c r="AH75" i="1"/>
  <c r="AF75" i="1"/>
  <c r="AE75" i="1"/>
  <c r="AC75" i="1"/>
  <c r="AA75" i="1"/>
  <c r="Z75" i="1"/>
  <c r="Y75" i="1"/>
  <c r="W75" i="1"/>
  <c r="T75" i="1"/>
  <c r="M75" i="1"/>
  <c r="J75" i="1"/>
  <c r="G75" i="1"/>
  <c r="F75" i="1"/>
  <c r="E75" i="1"/>
  <c r="D75" i="1"/>
  <c r="C75" i="1"/>
  <c r="AO74" i="1"/>
  <c r="AE74" i="1"/>
  <c r="AB74" i="1"/>
  <c r="AA74" i="1"/>
  <c r="Z74" i="1"/>
  <c r="Y74" i="1"/>
  <c r="W74" i="1"/>
  <c r="U74" i="1"/>
  <c r="T74" i="1"/>
  <c r="S74" i="1"/>
  <c r="Q74" i="1"/>
  <c r="N74" i="1"/>
  <c r="M74" i="1"/>
  <c r="F74" i="1"/>
  <c r="E74" i="1"/>
  <c r="D74" i="1"/>
  <c r="C74" i="1"/>
  <c r="AO73" i="1"/>
  <c r="AE73" i="1"/>
  <c r="Z73" i="1"/>
  <c r="Y73" i="1"/>
  <c r="U73" i="1"/>
  <c r="T73" i="1"/>
  <c r="S73" i="1"/>
  <c r="M73" i="1"/>
  <c r="F73" i="1"/>
  <c r="E73" i="1"/>
  <c r="D73" i="1"/>
  <c r="C73" i="1"/>
  <c r="AU72" i="1"/>
  <c r="AS72" i="1"/>
  <c r="AQ72" i="1"/>
  <c r="AP72" i="1"/>
  <c r="AO72" i="1"/>
  <c r="AN72" i="1"/>
  <c r="AM72" i="1"/>
  <c r="AL72" i="1"/>
  <c r="AK72" i="1"/>
  <c r="AJ72" i="1"/>
  <c r="AI72" i="1"/>
  <c r="AH72" i="1"/>
  <c r="AG72" i="1"/>
  <c r="AF72" i="1"/>
  <c r="AE72" i="1"/>
  <c r="AC72" i="1"/>
  <c r="AB72" i="1"/>
  <c r="AA72" i="1"/>
  <c r="Z72" i="1"/>
  <c r="Y72" i="1"/>
  <c r="W72" i="1"/>
  <c r="U72" i="1"/>
  <c r="T72" i="1"/>
  <c r="S72" i="1"/>
  <c r="Q72" i="1"/>
  <c r="N72" i="1"/>
  <c r="M72" i="1"/>
  <c r="G72" i="1"/>
  <c r="F72" i="1"/>
  <c r="E72" i="1"/>
  <c r="D72" i="1"/>
  <c r="C72" i="1"/>
  <c r="AQ71" i="1"/>
  <c r="AP71" i="1"/>
  <c r="AO71" i="1"/>
  <c r="AM71" i="1"/>
  <c r="AE71" i="1"/>
  <c r="AC71" i="1"/>
  <c r="AA71" i="1"/>
  <c r="Z71" i="1"/>
  <c r="Y71" i="1"/>
  <c r="V71" i="1"/>
  <c r="U71" i="1"/>
  <c r="T71" i="1"/>
  <c r="S71" i="1"/>
  <c r="N71" i="1"/>
  <c r="M71" i="1"/>
  <c r="G71" i="1"/>
  <c r="F71" i="1"/>
  <c r="E71" i="1"/>
  <c r="C71" i="1"/>
  <c r="AQ70" i="1"/>
  <c r="AP70" i="1"/>
  <c r="AO70" i="1"/>
  <c r="AL70" i="1"/>
  <c r="AK70" i="1"/>
  <c r="AE70" i="1"/>
  <c r="AC70" i="1"/>
  <c r="AB70" i="1"/>
  <c r="AA70" i="1"/>
  <c r="Z70" i="1"/>
  <c r="Y70" i="1"/>
  <c r="V70" i="1"/>
  <c r="U70" i="1"/>
  <c r="T70" i="1"/>
  <c r="S70" i="1"/>
  <c r="Q70" i="1"/>
  <c r="N70" i="1"/>
  <c r="M70" i="1"/>
  <c r="F70" i="1"/>
  <c r="E70" i="1"/>
  <c r="D70" i="1"/>
  <c r="C70" i="1"/>
  <c r="AO69" i="1"/>
  <c r="AA69" i="1"/>
  <c r="Z69" i="1"/>
  <c r="Y69" i="1"/>
  <c r="Q69" i="1"/>
  <c r="N69" i="1"/>
  <c r="M69" i="1"/>
  <c r="E69" i="1"/>
  <c r="AO68" i="1"/>
  <c r="AB68" i="1"/>
  <c r="AA68" i="1"/>
  <c r="Z68" i="1"/>
  <c r="Y68" i="1"/>
  <c r="T68" i="1"/>
  <c r="M68" i="1"/>
  <c r="E68" i="1"/>
  <c r="D68" i="1"/>
  <c r="C68" i="1"/>
  <c r="AU67" i="1"/>
  <c r="AT67" i="1"/>
  <c r="AS67" i="1"/>
  <c r="AQ67" i="1"/>
  <c r="AP67" i="1"/>
  <c r="AO67" i="1"/>
  <c r="AL67" i="1"/>
  <c r="AK67" i="1"/>
  <c r="AE67" i="1"/>
  <c r="AC67" i="1"/>
  <c r="AB67" i="1"/>
  <c r="AA67" i="1"/>
  <c r="Z67" i="1"/>
  <c r="Y67" i="1"/>
  <c r="T67" i="1"/>
  <c r="S67" i="1"/>
  <c r="R67" i="1"/>
  <c r="Q67" i="1"/>
  <c r="N67" i="1"/>
  <c r="M67" i="1"/>
  <c r="G67" i="1"/>
  <c r="F67" i="1"/>
  <c r="E67" i="1"/>
  <c r="D67" i="1"/>
  <c r="C67" i="1"/>
  <c r="AO66" i="1" l="1"/>
  <c r="AN66" i="1"/>
  <c r="AM66" i="1"/>
  <c r="AI66" i="1"/>
  <c r="AH66" i="1"/>
  <c r="AE66" i="1"/>
  <c r="AB66" i="1"/>
  <c r="AA66" i="1"/>
  <c r="Z66" i="1"/>
  <c r="Y66" i="1"/>
  <c r="U66" i="1"/>
  <c r="T66" i="1"/>
  <c r="S66" i="1"/>
  <c r="N66" i="1"/>
  <c r="M66" i="1"/>
  <c r="K66" i="1"/>
  <c r="I66" i="1"/>
  <c r="G66" i="1"/>
  <c r="F66" i="1"/>
  <c r="E66" i="1"/>
  <c r="D66" i="1"/>
  <c r="C66" i="1"/>
  <c r="AO65" i="1"/>
  <c r="AK65" i="1"/>
  <c r="AE65" i="1"/>
  <c r="AC65" i="1"/>
  <c r="AA65" i="1"/>
  <c r="Y65" i="1"/>
  <c r="W65" i="1"/>
  <c r="U65" i="1"/>
  <c r="T65" i="1"/>
  <c r="N65" i="1"/>
  <c r="M65" i="1"/>
  <c r="J65" i="1"/>
  <c r="F65" i="1"/>
  <c r="E65" i="1"/>
  <c r="D65" i="1"/>
  <c r="C65" i="1"/>
  <c r="C64" i="1"/>
  <c r="AU64" i="1"/>
  <c r="AQ64" i="1"/>
  <c r="AO64" i="1"/>
  <c r="AM64" i="1"/>
  <c r="AC64" i="1"/>
  <c r="Z64" i="1"/>
  <c r="Y64" i="1"/>
  <c r="U64" i="1"/>
  <c r="T64" i="1"/>
  <c r="E64" i="1"/>
  <c r="D64" i="1"/>
  <c r="AU63" i="1"/>
  <c r="AP63" i="1"/>
  <c r="AO63" i="1"/>
  <c r="AJ63" i="1"/>
  <c r="AI63" i="1"/>
  <c r="AH63" i="1"/>
  <c r="AG63" i="1"/>
  <c r="AF63" i="1"/>
  <c r="AE63" i="1"/>
  <c r="AD63" i="1"/>
  <c r="AC63" i="1"/>
  <c r="AB63" i="1"/>
  <c r="AA63" i="1"/>
  <c r="Z63" i="1"/>
  <c r="Y63" i="1"/>
  <c r="T63" i="1"/>
  <c r="S63" i="1"/>
  <c r="R63" i="1"/>
  <c r="Q63" i="1"/>
  <c r="N63" i="1"/>
  <c r="M63" i="1"/>
  <c r="E63" i="1"/>
  <c r="D63" i="1"/>
  <c r="C63" i="1"/>
  <c r="AU62" i="1"/>
  <c r="AQ62" i="1"/>
  <c r="AP62" i="1"/>
  <c r="AO62" i="1"/>
  <c r="AM62" i="1"/>
  <c r="AJ62" i="1"/>
  <c r="AI62" i="1"/>
  <c r="AH62" i="1"/>
  <c r="AG62" i="1"/>
  <c r="AF62" i="1"/>
  <c r="AE62" i="1"/>
  <c r="AC62" i="1"/>
  <c r="AB62" i="1"/>
  <c r="AA62" i="1"/>
  <c r="Z62" i="1"/>
  <c r="Y62" i="1"/>
  <c r="U62" i="1"/>
  <c r="S62" i="1"/>
  <c r="R62" i="1"/>
  <c r="Q62" i="1"/>
  <c r="P62" i="1"/>
  <c r="N62" i="1"/>
  <c r="M62" i="1"/>
  <c r="G62" i="1"/>
  <c r="E62" i="1"/>
  <c r="D62" i="1"/>
  <c r="C62" i="1"/>
  <c r="AU61" i="1" l="1"/>
  <c r="AT61" i="1"/>
  <c r="AQ61" i="1"/>
  <c r="AO61" i="1"/>
  <c r="AI61" i="1"/>
  <c r="AH61" i="1"/>
  <c r="AG61" i="1"/>
  <c r="AE61" i="1"/>
  <c r="AB61" i="1"/>
  <c r="AA61" i="1"/>
  <c r="Z61" i="1"/>
  <c r="Y61" i="1"/>
  <c r="U61" i="1"/>
  <c r="T61" i="1"/>
  <c r="Q61" i="1"/>
  <c r="M61" i="1"/>
  <c r="K61" i="1"/>
  <c r="G61" i="1"/>
  <c r="E61" i="1"/>
  <c r="D61" i="1"/>
  <c r="C61" i="1"/>
  <c r="AQ60" i="1"/>
  <c r="AO60" i="1"/>
  <c r="AE60" i="1"/>
  <c r="Z60" i="1"/>
  <c r="T60" i="1"/>
  <c r="M60" i="1"/>
  <c r="D60" i="1"/>
  <c r="C60" i="1"/>
  <c r="AE58" i="1"/>
  <c r="AC58" i="1"/>
  <c r="AA58" i="1"/>
  <c r="Z58" i="1"/>
  <c r="Y58" i="1"/>
  <c r="E58" i="1"/>
  <c r="D58" i="1"/>
  <c r="C58" i="1"/>
  <c r="AQ57" i="1"/>
  <c r="AP57" i="1"/>
  <c r="AO57" i="1"/>
  <c r="AK57" i="1"/>
  <c r="AI57" i="1"/>
  <c r="AH57" i="1"/>
  <c r="AF57" i="1"/>
  <c r="AE57" i="1"/>
  <c r="AC57" i="1"/>
  <c r="AB57" i="1"/>
  <c r="AA57" i="1"/>
  <c r="Y57" i="1"/>
  <c r="W57" i="1"/>
  <c r="U57" i="1"/>
  <c r="T57" i="1"/>
  <c r="S57" i="1"/>
  <c r="R57" i="1"/>
  <c r="Q57" i="1"/>
  <c r="N57" i="1"/>
  <c r="M57" i="1"/>
  <c r="K57" i="1"/>
  <c r="J57" i="1"/>
  <c r="G57" i="1"/>
  <c r="F57" i="1"/>
  <c r="E57" i="1"/>
  <c r="D57" i="1"/>
  <c r="C57" i="1"/>
  <c r="AU56" i="1"/>
  <c r="AO56" i="1"/>
  <c r="AM56" i="1"/>
  <c r="AJ56" i="1"/>
  <c r="AI56" i="1"/>
  <c r="AH56" i="1"/>
  <c r="AF56" i="1"/>
  <c r="AE56" i="1"/>
  <c r="AC56" i="1"/>
  <c r="AB56" i="1"/>
  <c r="AA56" i="1"/>
  <c r="Z56" i="1"/>
  <c r="Y56" i="1"/>
  <c r="Q56" i="1"/>
  <c r="E56" i="1"/>
  <c r="D56" i="1"/>
  <c r="C56" i="1"/>
  <c r="AQ55" i="1"/>
  <c r="AP55" i="1"/>
  <c r="AO55" i="1"/>
  <c r="AK55" i="1"/>
  <c r="AE55" i="1"/>
  <c r="AC55" i="1"/>
  <c r="AB55" i="1"/>
  <c r="AA55" i="1"/>
  <c r="Z55" i="1"/>
  <c r="Y55" i="1"/>
  <c r="W55" i="1"/>
  <c r="U55" i="1"/>
  <c r="T55" i="1"/>
  <c r="S55" i="1"/>
  <c r="R55" i="1"/>
  <c r="Q55" i="1"/>
  <c r="N55" i="1"/>
  <c r="M55" i="1"/>
  <c r="K55" i="1"/>
  <c r="J55" i="1"/>
  <c r="G55" i="1"/>
  <c r="F55" i="1"/>
  <c r="E55" i="1"/>
  <c r="D55" i="1"/>
  <c r="C55" i="1"/>
  <c r="AO54" i="1"/>
  <c r="AN54" i="1"/>
  <c r="AC54" i="1"/>
  <c r="AA54" i="1"/>
  <c r="Z54" i="1"/>
  <c r="Y54" i="1"/>
  <c r="T54" i="1"/>
  <c r="M54" i="1"/>
  <c r="F54" i="1"/>
  <c r="E54" i="1"/>
  <c r="D54" i="1"/>
  <c r="C54" i="1"/>
  <c r="AO53" i="1"/>
  <c r="AE53" i="1"/>
  <c r="Y53" i="1"/>
  <c r="T53" i="1"/>
  <c r="M53" i="1"/>
  <c r="J53" i="1"/>
  <c r="D53" i="1"/>
  <c r="C53" i="1"/>
  <c r="AO52" i="1"/>
  <c r="AE52" i="1"/>
  <c r="AA52" i="1"/>
  <c r="Z52" i="1"/>
  <c r="Y52" i="1"/>
  <c r="T52" i="1"/>
  <c r="S52" i="1"/>
  <c r="M52" i="1"/>
  <c r="F52" i="1"/>
  <c r="D52" i="1"/>
  <c r="C52" i="1"/>
  <c r="AU51" i="1"/>
  <c r="AT51" i="1"/>
  <c r="AQ51" i="1"/>
  <c r="AP51" i="1"/>
  <c r="AO51" i="1"/>
  <c r="AK51" i="1"/>
  <c r="AE51" i="1"/>
  <c r="AC51" i="1"/>
  <c r="AA51" i="1"/>
  <c r="Z51" i="1"/>
  <c r="Y51" i="1"/>
  <c r="W51" i="1"/>
  <c r="T51" i="1"/>
  <c r="S51" i="1"/>
  <c r="R51" i="1"/>
  <c r="Q51" i="1"/>
  <c r="N51" i="1"/>
  <c r="M51" i="1"/>
  <c r="J51" i="1"/>
  <c r="G51" i="1"/>
  <c r="F51" i="1"/>
  <c r="E51" i="1"/>
  <c r="D51" i="1"/>
  <c r="C51" i="1"/>
  <c r="AU50" i="1"/>
  <c r="AO50" i="1"/>
  <c r="AJ50" i="1"/>
  <c r="AH50" i="1"/>
  <c r="AE50" i="1"/>
  <c r="AA50" i="1"/>
  <c r="Z50" i="1"/>
  <c r="Y50" i="1"/>
  <c r="U50" i="1"/>
  <c r="T50" i="1"/>
  <c r="S50" i="1"/>
  <c r="Q50" i="1"/>
  <c r="M50" i="1"/>
  <c r="E50" i="1"/>
  <c r="D50" i="1"/>
  <c r="C50" i="1"/>
  <c r="AU49" i="1"/>
  <c r="AP49" i="1"/>
  <c r="AO49" i="1"/>
  <c r="AH49" i="1"/>
  <c r="AF49" i="1"/>
  <c r="AE49" i="1"/>
  <c r="AC49" i="1"/>
  <c r="AB49" i="1"/>
  <c r="AA49" i="1"/>
  <c r="Z49" i="1"/>
  <c r="Y49" i="1"/>
  <c r="U49" i="1"/>
  <c r="T49" i="1"/>
  <c r="N49" i="1"/>
  <c r="M49" i="1"/>
  <c r="E49" i="1"/>
  <c r="D49" i="1"/>
  <c r="C49" i="1"/>
  <c r="AT48" i="1"/>
  <c r="AQ48" i="1"/>
  <c r="AP48" i="1"/>
  <c r="AO48" i="1"/>
  <c r="AM48" i="1"/>
  <c r="AH48" i="1"/>
  <c r="AE48" i="1"/>
  <c r="AC48" i="1"/>
  <c r="AB48" i="1"/>
  <c r="AA48" i="1"/>
  <c r="Z48" i="1"/>
  <c r="Y48" i="1"/>
  <c r="U48" i="1"/>
  <c r="M48" i="1"/>
  <c r="F48" i="1"/>
  <c r="D48" i="1"/>
  <c r="AU47" i="1"/>
  <c r="AT47" i="1"/>
  <c r="AQ47" i="1"/>
  <c r="AP47" i="1"/>
  <c r="AM47" i="1"/>
  <c r="AK47" i="1"/>
  <c r="AH47" i="1"/>
  <c r="AE47" i="1"/>
  <c r="AC47" i="1"/>
  <c r="AB47" i="1"/>
  <c r="AA47" i="1"/>
  <c r="Z47" i="1"/>
  <c r="Y47" i="1"/>
  <c r="V47" i="1"/>
  <c r="U47" i="1"/>
  <c r="T47" i="1"/>
  <c r="Q47" i="1"/>
  <c r="N47" i="1"/>
  <c r="M47" i="1"/>
  <c r="G47" i="1"/>
  <c r="F47" i="1"/>
  <c r="E47" i="1"/>
  <c r="D47" i="1"/>
  <c r="C47" i="1"/>
  <c r="AU46" i="1" l="1"/>
  <c r="AT46" i="1"/>
  <c r="AQ46" i="1"/>
  <c r="AP46" i="1"/>
  <c r="AO46" i="1"/>
  <c r="AK46" i="1"/>
  <c r="AH46" i="1"/>
  <c r="AE46" i="1"/>
  <c r="AD46" i="1"/>
  <c r="AC46" i="1"/>
  <c r="AB46" i="1"/>
  <c r="AA46" i="1"/>
  <c r="Z46" i="1"/>
  <c r="Y46" i="1"/>
  <c r="W46" i="1"/>
  <c r="V46" i="1"/>
  <c r="T46" i="1"/>
  <c r="S46" i="1"/>
  <c r="Q46" i="1"/>
  <c r="N46" i="1"/>
  <c r="M46" i="1"/>
  <c r="K46" i="1"/>
  <c r="J46" i="1"/>
  <c r="I46" i="1"/>
  <c r="H46" i="1"/>
  <c r="G46" i="1"/>
  <c r="F46" i="1"/>
  <c r="E46" i="1"/>
  <c r="D46" i="1"/>
  <c r="C46" i="1"/>
  <c r="AO45" i="1"/>
  <c r="AE45" i="1"/>
  <c r="Z45" i="1"/>
  <c r="Y45" i="1"/>
  <c r="Q45" i="1"/>
  <c r="M45" i="1"/>
  <c r="F45" i="1"/>
  <c r="E45" i="1"/>
  <c r="D45" i="1"/>
  <c r="C45" i="1"/>
  <c r="AO44" i="1"/>
  <c r="AM44" i="1"/>
  <c r="AK44" i="1"/>
  <c r="AE44" i="1"/>
  <c r="AC44" i="1"/>
  <c r="AA44" i="1"/>
  <c r="Z44" i="1"/>
  <c r="Y44" i="1"/>
  <c r="U44" i="1"/>
  <c r="T44" i="1"/>
  <c r="S44" i="1"/>
  <c r="R44" i="1"/>
  <c r="Q44" i="1"/>
  <c r="M44" i="1"/>
  <c r="G44" i="1"/>
  <c r="F44" i="1"/>
  <c r="E44" i="1"/>
  <c r="D44" i="1"/>
  <c r="C44" i="1"/>
  <c r="AO42" i="1"/>
  <c r="AO41" i="1"/>
  <c r="AE41" i="1"/>
  <c r="AC41" i="1"/>
  <c r="AA41" i="1"/>
  <c r="Y41" i="1"/>
  <c r="C41" i="1"/>
  <c r="AU40" i="1"/>
  <c r="AQ40" i="1"/>
  <c r="AP40" i="1"/>
  <c r="AO40" i="1"/>
  <c r="AK40" i="1"/>
  <c r="AC40" i="1"/>
  <c r="AB40" i="1"/>
  <c r="AA40" i="1"/>
  <c r="Z40" i="1"/>
  <c r="Y40" i="1"/>
  <c r="N40" i="1"/>
  <c r="M40" i="1"/>
  <c r="F40" i="1"/>
  <c r="E40" i="1"/>
  <c r="D40" i="1"/>
  <c r="C40" i="1"/>
  <c r="AU39" i="1" l="1"/>
  <c r="AO39" i="1"/>
  <c r="AE39" i="1"/>
  <c r="AA39" i="1"/>
  <c r="Z39" i="1"/>
  <c r="Y39" i="1"/>
  <c r="T39" i="1"/>
  <c r="Q39" i="1"/>
  <c r="N39" i="1"/>
  <c r="M39" i="1"/>
  <c r="J39" i="1"/>
  <c r="G39" i="1"/>
  <c r="F39" i="1"/>
  <c r="E39" i="1"/>
  <c r="D39" i="1"/>
  <c r="C39" i="1"/>
  <c r="AU38" i="1"/>
  <c r="AT38" i="1"/>
  <c r="AQ38" i="1"/>
  <c r="AO38" i="1"/>
  <c r="AK38" i="1"/>
  <c r="AB38" i="1"/>
  <c r="AA38" i="1"/>
  <c r="Z38" i="1"/>
  <c r="Y38" i="1"/>
  <c r="M38" i="1"/>
  <c r="D38" i="1"/>
  <c r="C38" i="1"/>
  <c r="AU37" i="1" l="1"/>
  <c r="AT37" i="1"/>
  <c r="AQ37" i="1"/>
  <c r="AO37" i="1"/>
  <c r="AM37" i="1"/>
  <c r="AL37" i="1"/>
  <c r="AK37" i="1"/>
  <c r="AE37" i="1"/>
  <c r="AC37" i="1"/>
  <c r="AB37" i="1"/>
  <c r="AA37" i="1"/>
  <c r="Z37" i="1"/>
  <c r="Y37" i="1"/>
  <c r="V37" i="1"/>
  <c r="U37" i="1"/>
  <c r="T37" i="1"/>
  <c r="S37" i="1"/>
  <c r="Q37" i="1"/>
  <c r="N37" i="1"/>
  <c r="M37" i="1"/>
  <c r="F37" i="1"/>
  <c r="E37" i="1"/>
  <c r="D37" i="1"/>
  <c r="C37" i="1"/>
  <c r="AQ36" i="1"/>
  <c r="AP36" i="1"/>
  <c r="AO36" i="1"/>
  <c r="AM36" i="1"/>
  <c r="AE36" i="1"/>
  <c r="AA36" i="1"/>
  <c r="Z36" i="1"/>
  <c r="Y36" i="1"/>
  <c r="U36" i="1"/>
  <c r="T36" i="1"/>
  <c r="M36" i="1"/>
  <c r="F36" i="1"/>
  <c r="E36" i="1"/>
  <c r="D36" i="1"/>
  <c r="C36" i="1"/>
  <c r="AU35" i="1"/>
  <c r="AT35" i="1"/>
  <c r="AQ35" i="1"/>
  <c r="AP35" i="1"/>
  <c r="AO35" i="1"/>
  <c r="AN35" i="1"/>
  <c r="AM35" i="1"/>
  <c r="AK35" i="1"/>
  <c r="AE35" i="1"/>
  <c r="AD35" i="1"/>
  <c r="AC35" i="1"/>
  <c r="AB35" i="1"/>
  <c r="AA35" i="1"/>
  <c r="Z35" i="1"/>
  <c r="Y35" i="1"/>
  <c r="V35" i="1"/>
  <c r="U35" i="1"/>
  <c r="T35" i="1"/>
  <c r="S35" i="1"/>
  <c r="R35" i="1"/>
  <c r="Q35" i="1"/>
  <c r="N35" i="1"/>
  <c r="M35" i="1"/>
  <c r="G35" i="1"/>
  <c r="F35" i="1"/>
  <c r="E35" i="1"/>
  <c r="D35" i="1"/>
  <c r="C35" i="1"/>
  <c r="AO33" i="1"/>
  <c r="AM33" i="1"/>
  <c r="AK33" i="1"/>
  <c r="AC33" i="1"/>
  <c r="AA33" i="1"/>
  <c r="Z33" i="1"/>
  <c r="Y33" i="1"/>
  <c r="T33" i="1"/>
  <c r="M33" i="1"/>
  <c r="E33" i="1"/>
  <c r="D33" i="1"/>
  <c r="C33" i="1"/>
  <c r="AT32" i="1"/>
  <c r="AQ32" i="1"/>
  <c r="AP32" i="1"/>
  <c r="AO32" i="1"/>
  <c r="AK32" i="1"/>
  <c r="AE32" i="1"/>
  <c r="AC32" i="1"/>
  <c r="AA32" i="1"/>
  <c r="Z32" i="1"/>
  <c r="Y32" i="1"/>
  <c r="V32" i="1"/>
  <c r="U32" i="1"/>
  <c r="T32" i="1"/>
  <c r="S32" i="1"/>
  <c r="Q32" i="1"/>
  <c r="N32" i="1"/>
  <c r="M32" i="1"/>
  <c r="F32" i="1"/>
  <c r="E32" i="1"/>
  <c r="D32" i="1"/>
  <c r="C32" i="1"/>
  <c r="AQ31" i="1" l="1"/>
  <c r="AP31" i="1"/>
  <c r="AO31" i="1"/>
  <c r="AN31" i="1"/>
  <c r="AM31" i="1"/>
  <c r="AL31" i="1"/>
  <c r="AE31" i="1"/>
  <c r="AC31" i="1"/>
  <c r="AB31" i="1"/>
  <c r="AA31" i="1"/>
  <c r="Z31" i="1"/>
  <c r="Y31" i="1"/>
  <c r="V31" i="1"/>
  <c r="U31" i="1"/>
  <c r="T31" i="1"/>
  <c r="S31" i="1"/>
  <c r="R31" i="1"/>
  <c r="M31" i="1"/>
  <c r="G31" i="1"/>
  <c r="E31" i="1"/>
  <c r="D31" i="1"/>
  <c r="C31" i="1"/>
  <c r="AO30" i="1"/>
  <c r="AM30" i="1"/>
  <c r="AE30" i="1"/>
  <c r="AC30" i="1"/>
  <c r="AB30" i="1"/>
  <c r="AA30" i="1"/>
  <c r="Z30" i="1"/>
  <c r="Y30" i="1"/>
  <c r="T30" i="1"/>
  <c r="M30" i="1"/>
  <c r="D30" i="1"/>
  <c r="C30" i="1"/>
  <c r="AU29" i="1" l="1"/>
  <c r="AP29" i="1"/>
  <c r="AE29" i="1"/>
  <c r="AC29" i="1"/>
  <c r="AB29" i="1"/>
  <c r="AA29" i="1"/>
  <c r="Z29" i="1"/>
  <c r="Y29" i="1"/>
  <c r="U29" i="1"/>
  <c r="T29" i="1"/>
  <c r="S29" i="1"/>
  <c r="N29" i="1"/>
  <c r="M29" i="1"/>
  <c r="J29" i="1"/>
  <c r="G29" i="1"/>
  <c r="F29" i="1"/>
  <c r="D29" i="1"/>
  <c r="C29" i="1"/>
  <c r="AU28" i="1" l="1"/>
  <c r="AT28" i="1"/>
  <c r="AQ28" i="1"/>
  <c r="AP28" i="1"/>
  <c r="AO28" i="1"/>
  <c r="AN28" i="1"/>
  <c r="AE28" i="1"/>
  <c r="AC28" i="1"/>
  <c r="AB28" i="1"/>
  <c r="AA28" i="1"/>
  <c r="Z28" i="1"/>
  <c r="Y28" i="1"/>
  <c r="U28" i="1"/>
  <c r="T28" i="1"/>
  <c r="S28" i="1"/>
  <c r="R28" i="1"/>
  <c r="Q28" i="1"/>
  <c r="N28" i="1"/>
  <c r="M28" i="1"/>
  <c r="F28" i="1"/>
  <c r="E28" i="1"/>
  <c r="D28" i="1"/>
  <c r="C28" i="1"/>
  <c r="AU27" i="1"/>
  <c r="AQ27" i="1"/>
  <c r="AP27" i="1"/>
  <c r="AO27" i="1"/>
  <c r="AM27" i="1"/>
  <c r="AE27" i="1"/>
  <c r="AE25" i="1"/>
  <c r="AD27" i="1"/>
  <c r="AC27" i="1"/>
  <c r="AB27" i="1"/>
  <c r="AA27" i="1"/>
  <c r="Z27" i="1"/>
  <c r="Y27" i="1"/>
  <c r="T27" i="1"/>
  <c r="S27" i="1"/>
  <c r="R27" i="1"/>
  <c r="Q27" i="1"/>
  <c r="N27" i="1"/>
  <c r="M27" i="1"/>
  <c r="K27" i="1"/>
  <c r="G27" i="1"/>
  <c r="F27" i="1"/>
  <c r="E27" i="1"/>
  <c r="D27" i="1"/>
  <c r="C27" i="1"/>
  <c r="AU26" i="1" l="1"/>
  <c r="AS26" i="1"/>
  <c r="AQ26" i="1"/>
  <c r="AK26" i="1"/>
  <c r="AE26" i="1"/>
  <c r="AB26" i="1"/>
  <c r="AA26" i="1"/>
  <c r="Z26" i="1"/>
  <c r="Y26" i="1"/>
  <c r="V26" i="1"/>
  <c r="U26" i="1"/>
  <c r="T26" i="1"/>
  <c r="S26" i="1"/>
  <c r="Q26" i="1"/>
  <c r="M26" i="1"/>
  <c r="F26" i="1"/>
  <c r="E26" i="1"/>
  <c r="D26" i="1"/>
  <c r="C26" i="1"/>
  <c r="AC25" i="1"/>
  <c r="AB25" i="1"/>
  <c r="AA25" i="1"/>
  <c r="Z25" i="1"/>
  <c r="Y25" i="1"/>
  <c r="T25" i="1"/>
  <c r="Q25" i="1"/>
  <c r="M25" i="1"/>
  <c r="E25" i="1"/>
  <c r="D25" i="1"/>
  <c r="C25" i="1"/>
  <c r="AO24" i="1" l="1"/>
  <c r="AE24" i="1"/>
  <c r="AC24" i="1"/>
  <c r="AB24" i="1"/>
  <c r="AA24" i="1"/>
  <c r="Y24" i="1"/>
  <c r="M24" i="1"/>
  <c r="G24" i="1"/>
  <c r="E24" i="1"/>
  <c r="D24" i="1"/>
  <c r="C24" i="1"/>
  <c r="L24" i="1" l="1"/>
  <c r="AQ23" i="1"/>
  <c r="AO23" i="1"/>
  <c r="AN23" i="1"/>
  <c r="AM23" i="1"/>
  <c r="AE23" i="1"/>
  <c r="AC23" i="1"/>
  <c r="AB23" i="1"/>
  <c r="AA23" i="1"/>
  <c r="Z23" i="1"/>
  <c r="Y23" i="1"/>
  <c r="U23" i="1"/>
  <c r="M23" i="1"/>
  <c r="E23" i="1"/>
  <c r="D23" i="1"/>
  <c r="C23" i="1"/>
  <c r="AU21" i="1" l="1"/>
  <c r="AT21" i="1"/>
  <c r="AQ21" i="1"/>
  <c r="AP21" i="1"/>
  <c r="AO21" i="1"/>
  <c r="AK21" i="1"/>
  <c r="AE21" i="1"/>
  <c r="AC21" i="1"/>
  <c r="AB21" i="1"/>
  <c r="AA21" i="1"/>
  <c r="Z21" i="1"/>
  <c r="Y21" i="1"/>
  <c r="U21" i="1"/>
  <c r="T21" i="1"/>
  <c r="S21" i="1"/>
  <c r="N21" i="1"/>
  <c r="M21" i="1"/>
  <c r="K21" i="1"/>
  <c r="J21" i="1"/>
  <c r="G21" i="1"/>
  <c r="F21" i="1"/>
  <c r="E21" i="1"/>
  <c r="D21" i="1"/>
  <c r="C21" i="1"/>
  <c r="AP20" i="1" l="1"/>
  <c r="AO20" i="1"/>
  <c r="AC20" i="1"/>
  <c r="AB20" i="1"/>
  <c r="AA20" i="1"/>
  <c r="Z20" i="1"/>
  <c r="Y20" i="1"/>
  <c r="M20" i="1"/>
  <c r="F20" i="1"/>
  <c r="E20" i="1"/>
  <c r="D20" i="1"/>
  <c r="C20" i="1"/>
  <c r="AU19" i="1" l="1"/>
  <c r="AQ19" i="1"/>
  <c r="AP19" i="1"/>
  <c r="AO19" i="1"/>
  <c r="AK19" i="1"/>
  <c r="AE19" i="1"/>
  <c r="AC19" i="1"/>
  <c r="AB19" i="1"/>
  <c r="AA19" i="1"/>
  <c r="Z19" i="1"/>
  <c r="Y19" i="1"/>
  <c r="U19" i="1"/>
  <c r="Q19" i="1"/>
  <c r="N19" i="1"/>
  <c r="M19" i="1"/>
  <c r="G19" i="1"/>
  <c r="F19" i="1"/>
  <c r="E19" i="1"/>
  <c r="D19" i="1"/>
  <c r="C19" i="1"/>
  <c r="AO18" i="1"/>
  <c r="AC18" i="1"/>
  <c r="AA18" i="1"/>
  <c r="Y18" i="1"/>
  <c r="C18" i="1"/>
  <c r="AQ17" i="1"/>
  <c r="AP17" i="1"/>
  <c r="AK17" i="1"/>
  <c r="AE17" i="1"/>
  <c r="AC17" i="1"/>
  <c r="AB17" i="1"/>
  <c r="AA17" i="1"/>
  <c r="Y17" i="1"/>
  <c r="U17" i="1"/>
  <c r="T17" i="1"/>
  <c r="S17" i="1"/>
  <c r="Q17" i="1"/>
  <c r="N17" i="1"/>
  <c r="P17" i="1" s="1"/>
  <c r="M17" i="1"/>
  <c r="F17" i="1"/>
  <c r="E17" i="1"/>
  <c r="D17" i="1"/>
  <c r="C17" i="1"/>
  <c r="AU16" i="1"/>
  <c r="AQ16" i="1"/>
  <c r="AP16" i="1"/>
  <c r="AM16" i="1"/>
  <c r="AK16" i="1"/>
  <c r="AH16" i="1"/>
  <c r="AF16" i="1"/>
  <c r="AC16" i="1"/>
  <c r="AB16" i="1"/>
  <c r="AA16" i="1"/>
  <c r="Z16" i="1"/>
  <c r="Y16" i="1"/>
  <c r="U16" i="1"/>
  <c r="T16" i="1"/>
  <c r="S16" i="1"/>
  <c r="Q16" i="1"/>
  <c r="N16" i="1"/>
  <c r="M16" i="1"/>
  <c r="F16" i="1"/>
  <c r="L16" i="1" s="1"/>
  <c r="E16" i="1"/>
  <c r="D16" i="1"/>
  <c r="C16" i="1"/>
  <c r="AQ15" i="1"/>
  <c r="AP15" i="1"/>
  <c r="AO15" i="1"/>
  <c r="AK15" i="1"/>
  <c r="AJ15" i="1"/>
  <c r="AB15" i="1"/>
  <c r="AA15" i="1"/>
  <c r="Z15" i="1"/>
  <c r="Y15" i="1"/>
  <c r="W15" i="1"/>
  <c r="V15" i="1"/>
  <c r="U15" i="1"/>
  <c r="T15" i="1"/>
  <c r="S15" i="1"/>
  <c r="Q15" i="1"/>
  <c r="N15" i="1"/>
  <c r="M15" i="1"/>
  <c r="G15" i="1"/>
  <c r="F15" i="1"/>
  <c r="E15" i="1"/>
  <c r="D15" i="1"/>
  <c r="C15" i="1"/>
  <c r="AU14" i="1"/>
  <c r="AT14" i="1"/>
  <c r="AS14" i="1"/>
  <c r="AQ14" i="1"/>
  <c r="AP14" i="1"/>
  <c r="AO14" i="1"/>
  <c r="AN14" i="1"/>
  <c r="AM14" i="1"/>
  <c r="AK14" i="1"/>
  <c r="AJ14" i="1"/>
  <c r="AI14" i="1"/>
  <c r="AG14" i="1"/>
  <c r="AF14" i="1"/>
  <c r="AE14" i="1"/>
  <c r="AC14" i="1"/>
  <c r="AB14" i="1"/>
  <c r="AA14" i="1"/>
  <c r="Z14" i="1"/>
  <c r="Y14" i="1"/>
  <c r="W14" i="1"/>
  <c r="U14" i="1"/>
  <c r="T14" i="1"/>
  <c r="S14" i="1"/>
  <c r="R14" i="1"/>
  <c r="Q14" i="1"/>
  <c r="N14" i="1"/>
  <c r="M14" i="1"/>
  <c r="P14" i="1" s="1"/>
  <c r="K14" i="1"/>
  <c r="J14" i="1"/>
  <c r="G14" i="1"/>
  <c r="F14" i="1"/>
  <c r="E14" i="1"/>
  <c r="D14" i="1"/>
  <c r="C14" i="1"/>
  <c r="AO13" i="1"/>
  <c r="AM13" i="1"/>
  <c r="AL13" i="1"/>
  <c r="AK13" i="1"/>
  <c r="AJ13" i="1"/>
  <c r="AI13" i="1"/>
  <c r="AH13" i="1"/>
  <c r="AE13" i="1"/>
  <c r="AC13" i="1"/>
  <c r="AB13" i="1"/>
  <c r="AA13" i="1"/>
  <c r="Z13" i="1"/>
  <c r="Y13" i="1"/>
  <c r="W13" i="1"/>
  <c r="U13" i="1"/>
  <c r="T13" i="1"/>
  <c r="S13" i="1"/>
  <c r="N13" i="1"/>
  <c r="M13" i="1"/>
  <c r="P13" i="1" s="1"/>
  <c r="J13" i="1"/>
  <c r="E13" i="1"/>
  <c r="L13" i="1" s="1"/>
  <c r="D13" i="1"/>
  <c r="C13" i="1"/>
  <c r="AU12" i="1"/>
  <c r="AO12" i="1"/>
  <c r="AE12" i="1"/>
  <c r="AC12" i="1"/>
  <c r="AB12" i="1"/>
  <c r="AA12" i="1"/>
  <c r="Z12" i="1"/>
  <c r="Y12" i="1"/>
  <c r="W12" i="1"/>
  <c r="T12" i="1"/>
  <c r="X12" i="1" s="1"/>
  <c r="S12" i="1"/>
  <c r="N12" i="1"/>
  <c r="M12" i="1"/>
  <c r="E12" i="1"/>
  <c r="D12" i="1"/>
  <c r="C12" i="1"/>
  <c r="AO11" i="1"/>
  <c r="AE11" i="1"/>
  <c r="Z11" i="1"/>
  <c r="Y11" i="1"/>
  <c r="T11" i="1"/>
  <c r="F11" i="1"/>
  <c r="L11" i="1" s="1"/>
  <c r="E11" i="1"/>
  <c r="D11" i="1"/>
  <c r="C11" i="1"/>
  <c r="AO10" i="1"/>
  <c r="AA10" i="1"/>
  <c r="Z10" i="1"/>
  <c r="Y10" i="1"/>
  <c r="D10" i="1"/>
  <c r="C10" i="1"/>
  <c r="AU9" i="1"/>
  <c r="AO9" i="1"/>
  <c r="AE9" i="1"/>
  <c r="AC9" i="1"/>
  <c r="AA9" i="1"/>
  <c r="Z9" i="1"/>
  <c r="Y9" i="1"/>
  <c r="M9" i="1"/>
  <c r="E9" i="1"/>
  <c r="D9" i="1"/>
  <c r="C9" i="1"/>
  <c r="AS6" i="2"/>
  <c r="AS8" i="2"/>
  <c r="AS9" i="2"/>
  <c r="AS10" i="2"/>
  <c r="AS11" i="2"/>
  <c r="AS12" i="2"/>
  <c r="AS13" i="2"/>
  <c r="AS14" i="2"/>
  <c r="AS15" i="2"/>
  <c r="AS16" i="2"/>
  <c r="AS17" i="2"/>
  <c r="AS18" i="2"/>
  <c r="AS19" i="2"/>
  <c r="AS20" i="2"/>
  <c r="AS21" i="2"/>
  <c r="AS22" i="2"/>
  <c r="AS23" i="2"/>
  <c r="AS24" i="2"/>
  <c r="AS25" i="2"/>
  <c r="AS26" i="2"/>
  <c r="AS27" i="2"/>
  <c r="AS28" i="2"/>
  <c r="AS29" i="2"/>
  <c r="AS30" i="2"/>
  <c r="AS31" i="2"/>
  <c r="AS32" i="2"/>
  <c r="AS33" i="2"/>
  <c r="AS34" i="2"/>
  <c r="AS35" i="2"/>
  <c r="AS36" i="2"/>
  <c r="AS37" i="2"/>
  <c r="AS38" i="2"/>
  <c r="AS39" i="2"/>
  <c r="AS40" i="2"/>
  <c r="AS41" i="2"/>
  <c r="AS42" i="2"/>
  <c r="AS43" i="2"/>
  <c r="AS44" i="2"/>
  <c r="AS46" i="2"/>
  <c r="AS47" i="2"/>
  <c r="AS48" i="2"/>
  <c r="AS49" i="2"/>
  <c r="AS50" i="2"/>
  <c r="AS51" i="2"/>
  <c r="AS52" i="2"/>
  <c r="AS53" i="2"/>
  <c r="AS54" i="2"/>
  <c r="AS55" i="2"/>
  <c r="AS56" i="2"/>
  <c r="AS57" i="2"/>
  <c r="AS59" i="2"/>
  <c r="AS60" i="2"/>
  <c r="AS61" i="2"/>
  <c r="AS62" i="2"/>
  <c r="AS63" i="2"/>
  <c r="AS64" i="2"/>
  <c r="AS65" i="2"/>
  <c r="AS66" i="2"/>
  <c r="AS67" i="2"/>
  <c r="AS68" i="2"/>
  <c r="AS69" i="2"/>
  <c r="AS70" i="2"/>
  <c r="AS71" i="2"/>
  <c r="AS72" i="2"/>
  <c r="AS73" i="2"/>
  <c r="AS74" i="2"/>
  <c r="AS75" i="2"/>
  <c r="AS76" i="2"/>
  <c r="AS77" i="2"/>
  <c r="AS78" i="2"/>
  <c r="AS79" i="2"/>
  <c r="AS80" i="2"/>
  <c r="AS81" i="2"/>
  <c r="AS82" i="2"/>
  <c r="AS83" i="2"/>
  <c r="AS84" i="2"/>
  <c r="AS85" i="2"/>
  <c r="AS86" i="2"/>
  <c r="AS87" i="2"/>
  <c r="AS88" i="2"/>
  <c r="AS89" i="2"/>
  <c r="AS90" i="2"/>
  <c r="AS91" i="2"/>
  <c r="AS92" i="2"/>
  <c r="AS93" i="2"/>
  <c r="AS94" i="2"/>
  <c r="AS95" i="2"/>
  <c r="AS96" i="2"/>
  <c r="AS97" i="2"/>
  <c r="AS98" i="2"/>
  <c r="AS99" i="2"/>
  <c r="AS100" i="2"/>
  <c r="AS101" i="2"/>
  <c r="AS103" i="2"/>
  <c r="AS104" i="2"/>
  <c r="AS105" i="2"/>
  <c r="AS4" i="2"/>
  <c r="X5" i="2"/>
  <c r="X6" i="2"/>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9" i="2"/>
  <c r="X60" i="2"/>
  <c r="X61" i="2"/>
  <c r="X62" i="2"/>
  <c r="X63" i="2"/>
  <c r="X64"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5" i="2"/>
  <c r="X4" i="2"/>
  <c r="P5" i="2"/>
  <c r="P6" i="2"/>
  <c r="P7" i="2"/>
  <c r="P8" i="2"/>
  <c r="P9" i="2"/>
  <c r="P10" i="2"/>
  <c r="P11" i="2"/>
  <c r="P12" i="2"/>
  <c r="P13" i="2"/>
  <c r="P14" i="2"/>
  <c r="P15" i="2"/>
  <c r="P16" i="2"/>
  <c r="P17" i="2"/>
  <c r="P18" i="2"/>
  <c r="P19" i="2"/>
  <c r="P20" i="2"/>
  <c r="P21" i="2"/>
  <c r="P22" i="2"/>
  <c r="P23" i="2"/>
  <c r="P25" i="2"/>
  <c r="P26" i="2"/>
  <c r="P27" i="2"/>
  <c r="P28" i="2"/>
  <c r="P29" i="2"/>
  <c r="P30" i="2"/>
  <c r="P31" i="2"/>
  <c r="P32" i="2"/>
  <c r="P33" i="2"/>
  <c r="P34" i="2"/>
  <c r="P35" i="2"/>
  <c r="P36" i="2"/>
  <c r="P37" i="2"/>
  <c r="P38" i="2"/>
  <c r="P39" i="2"/>
  <c r="P41" i="2"/>
  <c r="P42" i="2"/>
  <c r="P43" i="2"/>
  <c r="P44" i="2"/>
  <c r="P45" i="2"/>
  <c r="P46" i="2"/>
  <c r="P47" i="2"/>
  <c r="P48" i="2"/>
  <c r="P49" i="2"/>
  <c r="P50" i="2"/>
  <c r="P51" i="2"/>
  <c r="P52" i="2"/>
  <c r="P53" i="2"/>
  <c r="P54" i="2"/>
  <c r="P55" i="2"/>
  <c r="P56"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4" i="2"/>
  <c r="L5" i="2"/>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1" i="2"/>
  <c r="L42" i="2"/>
  <c r="L43" i="2"/>
  <c r="L44" i="2"/>
  <c r="L45" i="2"/>
  <c r="L46" i="2"/>
  <c r="L47" i="2"/>
  <c r="L48" i="2"/>
  <c r="L49" i="2"/>
  <c r="L50" i="2"/>
  <c r="L51" i="2"/>
  <c r="L52" i="2"/>
  <c r="L53" i="2"/>
  <c r="L54" i="2"/>
  <c r="L55" i="2"/>
  <c r="L56"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4" i="2"/>
  <c r="X5" i="1"/>
  <c r="X6" i="1"/>
  <c r="X7" i="1"/>
  <c r="X8" i="1"/>
  <c r="X9" i="1"/>
  <c r="X10" i="1"/>
  <c r="X11" i="1"/>
  <c r="X17" i="1"/>
  <c r="X18"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80" i="1"/>
  <c r="X81" i="1"/>
  <c r="X83" i="1"/>
  <c r="X84" i="1"/>
  <c r="X85" i="1"/>
  <c r="X86" i="1"/>
  <c r="X87" i="1"/>
  <c r="X88" i="1"/>
  <c r="X89" i="1"/>
  <c r="X90" i="1"/>
  <c r="X91" i="1"/>
  <c r="X92" i="1"/>
  <c r="X93" i="1"/>
  <c r="X94" i="1"/>
  <c r="X95" i="1"/>
  <c r="X96" i="1"/>
  <c r="X97" i="1"/>
  <c r="X98" i="1"/>
  <c r="X99" i="1"/>
  <c r="X100" i="1"/>
  <c r="X102" i="1"/>
  <c r="X103" i="1"/>
  <c r="X104" i="1"/>
  <c r="X105" i="1"/>
  <c r="X106" i="1"/>
  <c r="X107" i="1"/>
  <c r="X108" i="1"/>
  <c r="X109" i="1"/>
  <c r="X4" i="1"/>
  <c r="P5" i="1"/>
  <c r="P6" i="1"/>
  <c r="P7" i="1"/>
  <c r="P8" i="1"/>
  <c r="P9" i="1"/>
  <c r="P10" i="1"/>
  <c r="P11" i="1"/>
  <c r="P18"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2" i="1"/>
  <c r="P103" i="1"/>
  <c r="P104" i="1"/>
  <c r="P105" i="1"/>
  <c r="P106" i="1"/>
  <c r="P108" i="1"/>
  <c r="P109" i="1"/>
  <c r="P4" i="1"/>
  <c r="L17" i="1"/>
  <c r="L18" i="1"/>
  <c r="L20" i="1"/>
  <c r="L21" i="1"/>
  <c r="L22" i="1"/>
  <c r="L23"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8" i="1"/>
  <c r="L79" i="1"/>
  <c r="L80" i="1"/>
  <c r="L81" i="1"/>
  <c r="L82" i="1"/>
  <c r="L83" i="1"/>
  <c r="L85" i="1"/>
  <c r="L86" i="1"/>
  <c r="L87" i="1"/>
  <c r="L88" i="1"/>
  <c r="L89" i="1"/>
  <c r="L90" i="1"/>
  <c r="L91" i="1"/>
  <c r="L92" i="1"/>
  <c r="L93" i="1"/>
  <c r="L94" i="1"/>
  <c r="L95" i="1"/>
  <c r="L96" i="1"/>
  <c r="L97" i="1"/>
  <c r="L98" i="1"/>
  <c r="L99" i="1"/>
  <c r="L100" i="1"/>
  <c r="L102" i="1"/>
  <c r="L103" i="1"/>
  <c r="L104" i="1"/>
  <c r="L105" i="1"/>
  <c r="L106" i="1"/>
  <c r="L107" i="1"/>
  <c r="L108" i="1"/>
  <c r="L109" i="1"/>
  <c r="L10" i="1"/>
  <c r="L12" i="1"/>
  <c r="L9" i="1"/>
  <c r="L8" i="1"/>
  <c r="L7" i="1"/>
  <c r="L6" i="1"/>
  <c r="L5" i="1"/>
  <c r="L4" i="1"/>
  <c r="O3" i="1"/>
  <c r="J3" i="1"/>
  <c r="B3" i="1"/>
  <c r="T110" i="1" l="1"/>
  <c r="P12" i="1"/>
  <c r="J110" i="1"/>
  <c r="P16" i="1"/>
  <c r="X13" i="1"/>
  <c r="P19" i="1"/>
  <c r="L14" i="1"/>
  <c r="L3" i="1" s="1"/>
  <c r="L19" i="1"/>
  <c r="X19" i="1"/>
  <c r="X16" i="1"/>
  <c r="X15" i="1"/>
  <c r="P15" i="1"/>
  <c r="L15" i="1"/>
  <c r="X14" i="1"/>
  <c r="AS106" i="2"/>
  <c r="AS3" i="2"/>
  <c r="AT3" i="2"/>
  <c r="AT106" i="2"/>
  <c r="AX106" i="2" l="1"/>
  <c r="AW106" i="2"/>
  <c r="AV106" i="2"/>
  <c r="AU106" i="2"/>
  <c r="AR106" i="2"/>
  <c r="AQ106" i="2"/>
  <c r="AP106" i="2"/>
  <c r="AO106" i="2"/>
  <c r="AN106" i="2"/>
  <c r="AM106" i="2"/>
  <c r="AL106" i="2"/>
  <c r="AK106" i="2"/>
  <c r="AJ106" i="2"/>
  <c r="AI106" i="2"/>
  <c r="AH106" i="2"/>
  <c r="AG106" i="2"/>
  <c r="AF106" i="2"/>
  <c r="AE106" i="2"/>
  <c r="AD106" i="2"/>
  <c r="AC106" i="2"/>
  <c r="AB106" i="2"/>
  <c r="AA106" i="2"/>
  <c r="Z106" i="2"/>
  <c r="Y106" i="2"/>
  <c r="X106" i="2"/>
  <c r="W106" i="2"/>
  <c r="V106" i="2"/>
  <c r="U106" i="2"/>
  <c r="T106" i="2"/>
  <c r="S106" i="2"/>
  <c r="R106" i="2"/>
  <c r="Q106" i="2"/>
  <c r="O106" i="2"/>
  <c r="N106" i="2"/>
  <c r="M106" i="2"/>
  <c r="L106" i="2"/>
  <c r="K106" i="2"/>
  <c r="J106" i="2"/>
  <c r="I106" i="2"/>
  <c r="H106" i="2"/>
  <c r="G106" i="2"/>
  <c r="F106" i="2"/>
  <c r="E106" i="2"/>
  <c r="D106" i="2"/>
  <c r="C106" i="2"/>
  <c r="AX3" i="2"/>
  <c r="AW3" i="2"/>
  <c r="AV3" i="2"/>
  <c r="AU3" i="2"/>
  <c r="AR3" i="2"/>
  <c r="AQ3" i="2"/>
  <c r="AP3" i="2"/>
  <c r="AO3" i="2"/>
  <c r="AN3" i="2"/>
  <c r="AM3" i="2"/>
  <c r="AL3" i="2"/>
  <c r="AK3" i="2"/>
  <c r="AJ3" i="2"/>
  <c r="AI3" i="2"/>
  <c r="AH3" i="2"/>
  <c r="AG3" i="2"/>
  <c r="AF3" i="2"/>
  <c r="AE3" i="2"/>
  <c r="AD3" i="2"/>
  <c r="AC3" i="2"/>
  <c r="AB3" i="2"/>
  <c r="AA3" i="2"/>
  <c r="Z3" i="2"/>
  <c r="Y3" i="2"/>
  <c r="X3" i="2"/>
  <c r="W3" i="2"/>
  <c r="V3" i="2"/>
  <c r="U3" i="2"/>
  <c r="T3" i="2"/>
  <c r="S3" i="2"/>
  <c r="R3" i="2"/>
  <c r="Q3" i="2"/>
  <c r="O3" i="2"/>
  <c r="N3" i="2"/>
  <c r="M3" i="2"/>
  <c r="L3" i="2"/>
  <c r="K3" i="2"/>
  <c r="J3" i="2"/>
  <c r="I3" i="2"/>
  <c r="H3" i="2"/>
  <c r="G3" i="2"/>
  <c r="F3" i="2"/>
  <c r="E3" i="2"/>
  <c r="D3" i="2"/>
  <c r="C3" i="2"/>
  <c r="P3" i="2" l="1"/>
  <c r="P106" i="2"/>
  <c r="B110" i="1"/>
  <c r="AU110" i="1"/>
  <c r="AT110" i="1"/>
  <c r="AS110" i="1"/>
  <c r="AR110" i="1"/>
  <c r="AQ110" i="1"/>
  <c r="AP110" i="1"/>
  <c r="AO110" i="1"/>
  <c r="AN110" i="1"/>
  <c r="AM110" i="1"/>
  <c r="AL110" i="1"/>
  <c r="AK110" i="1"/>
  <c r="AJ110" i="1"/>
  <c r="AI110" i="1"/>
  <c r="AH110" i="1"/>
  <c r="AG110" i="1"/>
  <c r="AF110" i="1"/>
  <c r="AE110" i="1"/>
  <c r="AD110" i="1"/>
  <c r="AC110" i="1"/>
  <c r="AB110" i="1"/>
  <c r="AA110" i="1"/>
  <c r="Z110" i="1"/>
  <c r="Y110" i="1"/>
  <c r="X110" i="1"/>
  <c r="W110" i="1"/>
  <c r="V110" i="1"/>
  <c r="U110" i="1"/>
  <c r="S110" i="1"/>
  <c r="R110" i="1"/>
  <c r="Q110" i="1"/>
  <c r="P110" i="1"/>
  <c r="N110" i="1"/>
  <c r="M110" i="1"/>
  <c r="L110" i="1"/>
  <c r="K110" i="1"/>
  <c r="I110" i="1"/>
  <c r="H110" i="1"/>
  <c r="G110" i="1"/>
  <c r="F110" i="1"/>
  <c r="E110" i="1"/>
  <c r="D110" i="1"/>
  <c r="C110" i="1"/>
  <c r="AU3" i="1"/>
  <c r="AT3" i="1"/>
  <c r="AS3" i="1"/>
  <c r="AR3" i="1"/>
  <c r="AQ3" i="1"/>
  <c r="AP3" i="1"/>
  <c r="AO3" i="1"/>
  <c r="AN3" i="1"/>
  <c r="AM3" i="1"/>
  <c r="AL3" i="1"/>
  <c r="AK3" i="1"/>
  <c r="AJ3" i="1"/>
  <c r="AI3" i="1"/>
  <c r="AH3" i="1"/>
  <c r="AG3" i="1"/>
  <c r="AF3" i="1"/>
  <c r="AE3" i="1"/>
  <c r="AD3" i="1"/>
  <c r="AC3" i="1"/>
  <c r="AB3" i="1"/>
  <c r="AA3" i="1"/>
  <c r="Z3" i="1"/>
  <c r="Y3" i="1"/>
  <c r="X3" i="1"/>
  <c r="W3" i="1"/>
  <c r="V3" i="1"/>
  <c r="U3" i="1"/>
  <c r="T3" i="1"/>
  <c r="S3" i="1"/>
  <c r="R3" i="1"/>
  <c r="Q3" i="1"/>
  <c r="P3" i="1"/>
  <c r="N3" i="1"/>
  <c r="M3" i="1"/>
  <c r="K3" i="1"/>
  <c r="I3" i="1"/>
  <c r="H3" i="1"/>
  <c r="G3" i="1"/>
  <c r="F3" i="1"/>
  <c r="E3" i="1"/>
  <c r="D3" i="1"/>
  <c r="C3" i="1"/>
</calcChain>
</file>

<file path=xl/sharedStrings.xml><?xml version="1.0" encoding="utf-8"?>
<sst xmlns="http://schemas.openxmlformats.org/spreadsheetml/2006/main" count="3173" uniqueCount="423">
  <si>
    <t>Domestic Violence</t>
  </si>
  <si>
    <t>Number of Calls</t>
  </si>
  <si>
    <t>Number of Clients</t>
  </si>
  <si>
    <t>Race</t>
  </si>
  <si>
    <t>Gender</t>
  </si>
  <si>
    <t>Age</t>
  </si>
  <si>
    <t>Services Provided</t>
  </si>
  <si>
    <t>Number of Support Groups</t>
  </si>
  <si>
    <t>Education/Training</t>
  </si>
  <si>
    <t>Volunteer Hrs. Worked in Agency for DV</t>
  </si>
  <si>
    <t>Shelter Services</t>
  </si>
  <si>
    <t>White</t>
  </si>
  <si>
    <t>Black</t>
  </si>
  <si>
    <t>Hispanic</t>
  </si>
  <si>
    <t>American Indian</t>
  </si>
  <si>
    <t>Asian</t>
  </si>
  <si>
    <t>Unknown</t>
  </si>
  <si>
    <t>Other</t>
  </si>
  <si>
    <t>Total</t>
  </si>
  <si>
    <t>Female</t>
  </si>
  <si>
    <t>Male</t>
  </si>
  <si>
    <t>0-12</t>
  </si>
  <si>
    <t>13-17</t>
  </si>
  <si>
    <t>18-25</t>
  </si>
  <si>
    <t>26-40</t>
  </si>
  <si>
    <t>41-60</t>
  </si>
  <si>
    <t>61+</t>
  </si>
  <si>
    <t>Information</t>
  </si>
  <si>
    <t>Advocacy</t>
  </si>
  <si>
    <t>Referral</t>
  </si>
  <si>
    <t>Transportation</t>
  </si>
  <si>
    <t>Counseling</t>
  </si>
  <si>
    <t>Hospital</t>
  </si>
  <si>
    <t>Court</t>
  </si>
  <si>
    <t>Job Training/Job Placement</t>
  </si>
  <si>
    <t>Financial Services</t>
  </si>
  <si>
    <t>Health Education</t>
  </si>
  <si>
    <t>Educational Services</t>
  </si>
  <si>
    <t>Adults</t>
  </si>
  <si>
    <t>Children</t>
  </si>
  <si>
    <t>Educational Presentations</t>
  </si>
  <si>
    <t>Professional Trainings</t>
  </si>
  <si>
    <t>Children under 18</t>
  </si>
  <si>
    <t>Adults 18-59</t>
  </si>
  <si>
    <t>Adults 60+</t>
  </si>
  <si>
    <t>Number of Physically Disabled</t>
  </si>
  <si>
    <t>Referrals to Other Shelters (Lack of Space)</t>
  </si>
  <si>
    <t>Number of Days Shelter was Full</t>
  </si>
  <si>
    <t>North Carolina</t>
  </si>
  <si>
    <t>Alamance</t>
  </si>
  <si>
    <t>Alexander</t>
  </si>
  <si>
    <t>Alleghany*</t>
  </si>
  <si>
    <t>Anson</t>
  </si>
  <si>
    <t xml:space="preserve">Ashe  </t>
  </si>
  <si>
    <t>Avery</t>
  </si>
  <si>
    <t>Beaufort</t>
  </si>
  <si>
    <t>Bertie</t>
  </si>
  <si>
    <t>Bladen</t>
  </si>
  <si>
    <t>Brunswick</t>
  </si>
  <si>
    <t>Buncombe</t>
  </si>
  <si>
    <t>Burke</t>
  </si>
  <si>
    <t>Cabarrus</t>
  </si>
  <si>
    <t>Caldwell</t>
  </si>
  <si>
    <t>Camden</t>
  </si>
  <si>
    <t xml:space="preserve">Carteret </t>
  </si>
  <si>
    <t>Caswell</t>
  </si>
  <si>
    <t>Catawba</t>
  </si>
  <si>
    <t>Cherokee</t>
  </si>
  <si>
    <t>Chowan</t>
  </si>
  <si>
    <t>Clay</t>
  </si>
  <si>
    <t>Cleveland</t>
  </si>
  <si>
    <t>Columbus</t>
  </si>
  <si>
    <t>Craven</t>
  </si>
  <si>
    <t>Cumberland</t>
  </si>
  <si>
    <t>Currituck</t>
  </si>
  <si>
    <t>Dare</t>
  </si>
  <si>
    <t>Davidson</t>
  </si>
  <si>
    <t>Duplin</t>
  </si>
  <si>
    <t xml:space="preserve">Durham </t>
  </si>
  <si>
    <t>Edgecombe</t>
  </si>
  <si>
    <t>Forsyth- Next Step</t>
  </si>
  <si>
    <t>Same</t>
  </si>
  <si>
    <t>Franklin</t>
  </si>
  <si>
    <t>Gaston</t>
  </si>
  <si>
    <t>Gates- Albemarle Hopeline</t>
  </si>
  <si>
    <t>Gates-RC Safe</t>
  </si>
  <si>
    <t>Granville</t>
  </si>
  <si>
    <t>Greene</t>
  </si>
  <si>
    <t>Guilford - Greensboro</t>
  </si>
  <si>
    <t>Guilford - High Point</t>
  </si>
  <si>
    <t>Halifax</t>
  </si>
  <si>
    <t>Harnett</t>
  </si>
  <si>
    <t>Haywood</t>
  </si>
  <si>
    <t>Henderson</t>
  </si>
  <si>
    <t>Hertford</t>
  </si>
  <si>
    <t>Hoke</t>
  </si>
  <si>
    <t xml:space="preserve">Hyde  </t>
  </si>
  <si>
    <t>Iredell</t>
  </si>
  <si>
    <t xml:space="preserve">Jackson </t>
  </si>
  <si>
    <t>Johnston</t>
  </si>
  <si>
    <t>Jones</t>
  </si>
  <si>
    <t>Lenoir</t>
  </si>
  <si>
    <t>Lincoln</t>
  </si>
  <si>
    <t>Macon</t>
  </si>
  <si>
    <t xml:space="preserve">Madison </t>
  </si>
  <si>
    <t>Martin</t>
  </si>
  <si>
    <t>McDowell</t>
  </si>
  <si>
    <t>Mecklenburg-Victim Assistance</t>
  </si>
  <si>
    <t>Mecklenburg- Shelter</t>
  </si>
  <si>
    <t xml:space="preserve">Mitchell  </t>
  </si>
  <si>
    <t xml:space="preserve">Montgomery </t>
  </si>
  <si>
    <t>Moore</t>
  </si>
  <si>
    <t>Nash</t>
  </si>
  <si>
    <t>New Hanover</t>
  </si>
  <si>
    <t>Northampton</t>
  </si>
  <si>
    <t>Onslow</t>
  </si>
  <si>
    <t>Orange</t>
  </si>
  <si>
    <t>Pamlico</t>
  </si>
  <si>
    <t>Pasquotank</t>
  </si>
  <si>
    <t>Pender</t>
  </si>
  <si>
    <t>Perquimans</t>
  </si>
  <si>
    <t>Person</t>
  </si>
  <si>
    <t>Pitt</t>
  </si>
  <si>
    <t>Polk</t>
  </si>
  <si>
    <t>Randolph-Archdale</t>
  </si>
  <si>
    <t xml:space="preserve">Randolph-Asheboro </t>
  </si>
  <si>
    <t>Richmond</t>
  </si>
  <si>
    <t xml:space="preserve">Robeson </t>
  </si>
  <si>
    <t>Rockingham</t>
  </si>
  <si>
    <t>Rowan</t>
  </si>
  <si>
    <t>Rutherford</t>
  </si>
  <si>
    <t>Sampson</t>
  </si>
  <si>
    <t>Scotland*</t>
  </si>
  <si>
    <t>Stanly</t>
  </si>
  <si>
    <t>Stokes</t>
  </si>
  <si>
    <t>Surry</t>
  </si>
  <si>
    <t>Swain</t>
  </si>
  <si>
    <t>Transylvania</t>
  </si>
  <si>
    <t xml:space="preserve">Tyrrell  </t>
  </si>
  <si>
    <t>Union</t>
  </si>
  <si>
    <t>Vance</t>
  </si>
  <si>
    <t>Wake</t>
  </si>
  <si>
    <t>Warren</t>
  </si>
  <si>
    <t>Washington</t>
  </si>
  <si>
    <t>Watauga</t>
  </si>
  <si>
    <t xml:space="preserve">Wayne  </t>
  </si>
  <si>
    <t>Wilson</t>
  </si>
  <si>
    <t>Yadkin</t>
  </si>
  <si>
    <t>Yancey</t>
  </si>
  <si>
    <t>County Population (***from 2017 data)</t>
  </si>
  <si>
    <t>Chatham</t>
  </si>
  <si>
    <t xml:space="preserve">Sexual Assault </t>
  </si>
  <si>
    <t>County Population</t>
  </si>
  <si>
    <t>Human Trafficking</t>
  </si>
  <si>
    <t>Volunteer Hours Worked in Agency for SA</t>
  </si>
  <si>
    <t>Type of Assault</t>
  </si>
  <si>
    <t>Offender Relationship</t>
  </si>
  <si>
    <t>Rape</t>
  </si>
  <si>
    <t>Date Rape</t>
  </si>
  <si>
    <t>Adult Surv. CSA</t>
  </si>
  <si>
    <t>Marital Rape</t>
  </si>
  <si>
    <t>Child Sex Offense</t>
  </si>
  <si>
    <t>Incest</t>
  </si>
  <si>
    <t xml:space="preserve"> Relative</t>
  </si>
  <si>
    <t>Acquaintance</t>
  </si>
  <si>
    <t>Boy/Girlfriend</t>
  </si>
  <si>
    <t>Stranger</t>
  </si>
  <si>
    <t xml:space="preserve">Brunswick </t>
  </si>
  <si>
    <t xml:space="preserve">Davie   </t>
  </si>
  <si>
    <t>Duplin*</t>
  </si>
  <si>
    <t xml:space="preserve">Durham   </t>
  </si>
  <si>
    <t>Forsyth</t>
  </si>
  <si>
    <t>Gates- RC Safe</t>
  </si>
  <si>
    <t>Graham</t>
  </si>
  <si>
    <t>Guilford- Greensboro</t>
  </si>
  <si>
    <t>Guilford- High Point</t>
  </si>
  <si>
    <t xml:space="preserve">Macon </t>
  </si>
  <si>
    <t>Mecklenburg</t>
  </si>
  <si>
    <t>Montgomery</t>
  </si>
  <si>
    <t xml:space="preserve">Randolph-Archdale </t>
  </si>
  <si>
    <t>Robeson</t>
  </si>
  <si>
    <t>Scotland</t>
  </si>
  <si>
    <t xml:space="preserve">Warren </t>
  </si>
  <si>
    <t xml:space="preserve">Wayne </t>
  </si>
  <si>
    <t>95+145</t>
  </si>
  <si>
    <t>Job Counseling (*under for this section, no data dec-june)</t>
  </si>
  <si>
    <t xml:space="preserve">Information </t>
  </si>
  <si>
    <t>385+339</t>
  </si>
  <si>
    <t>36+113</t>
  </si>
  <si>
    <t>Lee (only 6 month data listed)</t>
  </si>
  <si>
    <t>Pasquotank (only 6 month data listed)</t>
  </si>
  <si>
    <t>Perquimans (only 6 month data listed)</t>
  </si>
  <si>
    <t>Wilkes</t>
  </si>
  <si>
    <t>Currituck (only 6 month data listed)</t>
  </si>
  <si>
    <t>Chowan (only 6 month data listed)</t>
  </si>
  <si>
    <t>Buncombe (only 6 month data listed)</t>
  </si>
  <si>
    <t>Alleghany</t>
  </si>
  <si>
    <t>Forsyth- Family Services</t>
  </si>
  <si>
    <t>Wake - Cary</t>
  </si>
  <si>
    <t>Wake Raleigh</t>
  </si>
  <si>
    <t>Davie</t>
  </si>
  <si>
    <t>July 2018-2019</t>
  </si>
  <si>
    <t>July 2019-2019</t>
  </si>
  <si>
    <t xml:space="preserve">
North Carolina
Department of Administration
 Roy Cooper, Governor               Machelle Sanders, Secretary
North Carolina Council for Women and Youth Involvement
Mary Williams-Stover, Executive Director    
</t>
  </si>
  <si>
    <t>To Whom It May Concern:</t>
  </si>
  <si>
    <t>Enclosed are the statistics for the Batterer Intervention Programs of North Carolina for April 2018 through March 2019.  
Please take note that the year runs from April through March.
Please be aware that due to the 26 week length of the Batter Intervention Program Curriculum, some programs will carry enrollees through a calendar year.  This can influence the statistical information you see in this report.
Thank you.</t>
  </si>
  <si>
    <t>April 2018 - March 2019</t>
  </si>
  <si>
    <t>Referral Outcome Information -- Received this Quarter</t>
  </si>
  <si>
    <t xml:space="preserve">Abuser Treatment Program/County </t>
  </si>
  <si>
    <t>Judicial District</t>
  </si>
  <si>
    <t>Reporting Quarter</t>
  </si>
  <si>
    <t>Criminal Courts</t>
  </si>
  <si>
    <t>Civil Court</t>
  </si>
  <si>
    <t>DSS</t>
  </si>
  <si>
    <t>Mental Health</t>
  </si>
  <si>
    <t>Substance Abuse</t>
  </si>
  <si>
    <t>Self Referral</t>
  </si>
  <si>
    <t>Probation/Parole</t>
  </si>
  <si>
    <t xml:space="preserve">Total Referred </t>
  </si>
  <si>
    <t>M</t>
  </si>
  <si>
    <t>F</t>
  </si>
  <si>
    <t>SS</t>
  </si>
  <si>
    <t xml:space="preserve">Total </t>
  </si>
  <si>
    <t>Alamance County</t>
  </si>
  <si>
    <t>15A</t>
  </si>
  <si>
    <t>1st</t>
  </si>
  <si>
    <t>Alamance Co. DV Prevention Program</t>
  </si>
  <si>
    <t>2nd</t>
  </si>
  <si>
    <t>3rd</t>
  </si>
  <si>
    <t>4th</t>
  </si>
  <si>
    <t xml:space="preserve">Alleghany County </t>
  </si>
  <si>
    <t>Christine Werner-Booher</t>
  </si>
  <si>
    <t xml:space="preserve">Anson County </t>
  </si>
  <si>
    <t>16A</t>
  </si>
  <si>
    <t xml:space="preserve">Sandhills Behavioral Center </t>
  </si>
  <si>
    <t xml:space="preserve">4th </t>
  </si>
  <si>
    <t>Anson County</t>
  </si>
  <si>
    <t>Brunswick County</t>
  </si>
  <si>
    <t>DVOP</t>
  </si>
  <si>
    <t xml:space="preserve">2nd </t>
  </si>
  <si>
    <t xml:space="preserve">Brunswick County </t>
  </si>
  <si>
    <t>Buncombe County</t>
  </si>
  <si>
    <t xml:space="preserve">The Sparc Network </t>
  </si>
  <si>
    <t>Burke County</t>
  </si>
  <si>
    <t xml:space="preserve">Denise Harrison </t>
  </si>
  <si>
    <t xml:space="preserve">Donlin Counseling/Stay Kalm </t>
  </si>
  <si>
    <t xml:space="preserve">Donlin/Stay Kalm </t>
  </si>
  <si>
    <t>Cabarrus County</t>
  </si>
  <si>
    <t>19A</t>
  </si>
  <si>
    <t xml:space="preserve">Genesis…A New Beginning </t>
  </si>
  <si>
    <t>IMPACT</t>
  </si>
  <si>
    <t>Caldwell County</t>
  </si>
  <si>
    <t xml:space="preserve">Caldwell County </t>
  </si>
  <si>
    <t>Carteret County</t>
  </si>
  <si>
    <t xml:space="preserve">Roots Institute </t>
  </si>
  <si>
    <t>3B</t>
  </si>
  <si>
    <t>Catawba County</t>
  </si>
  <si>
    <t xml:space="preserve">MAT Group/Family Guidance Center </t>
  </si>
  <si>
    <t xml:space="preserve">Catawba County </t>
  </si>
  <si>
    <t xml:space="preserve">Chatham County </t>
  </si>
  <si>
    <t xml:space="preserve">Pathways to Change </t>
  </si>
  <si>
    <t>15B</t>
  </si>
  <si>
    <t xml:space="preserve">Cherokee County </t>
  </si>
  <si>
    <t xml:space="preserve">Offender Services Program/ Meridian </t>
  </si>
  <si>
    <t xml:space="preserve">Clay County </t>
  </si>
  <si>
    <t xml:space="preserve">Cleveland County </t>
  </si>
  <si>
    <t>27B</t>
  </si>
  <si>
    <t>Impact</t>
  </si>
  <si>
    <t xml:space="preserve">Craven County </t>
  </si>
  <si>
    <t xml:space="preserve">Cumberland County </t>
  </si>
  <si>
    <t xml:space="preserve">Resolve, Care Center FV Program </t>
  </si>
  <si>
    <t xml:space="preserve">Davidson County </t>
  </si>
  <si>
    <t>22B</t>
  </si>
  <si>
    <t xml:space="preserve">Family Services of Davidson County </t>
  </si>
  <si>
    <t>FS of Davidson County</t>
  </si>
  <si>
    <t>Lifeskills Counseling Center</t>
  </si>
  <si>
    <t xml:space="preserve">Lifeskills  </t>
  </si>
  <si>
    <t xml:space="preserve">Davie County </t>
  </si>
  <si>
    <t>Alternatives/T&amp;T Counseling</t>
  </si>
  <si>
    <t xml:space="preserve">Duplin County </t>
  </si>
  <si>
    <t xml:space="preserve">Insight, BIP U Care </t>
  </si>
  <si>
    <t xml:space="preserve">Durham County </t>
  </si>
  <si>
    <t>True Care of the Carolinas</t>
  </si>
  <si>
    <t xml:space="preserve">Edgecombe County </t>
  </si>
  <si>
    <t xml:space="preserve">Move/Wave, Valiant Families </t>
  </si>
  <si>
    <t>Forsyth County</t>
  </si>
  <si>
    <t xml:space="preserve">Cool Program </t>
  </si>
  <si>
    <t>Pathway Intervention Services</t>
  </si>
  <si>
    <t xml:space="preserve">Pathway Intervention </t>
  </si>
  <si>
    <t xml:space="preserve">Franklin County </t>
  </si>
  <si>
    <t>9,9B</t>
  </si>
  <si>
    <t xml:space="preserve">Choosing to Change </t>
  </si>
  <si>
    <t xml:space="preserve">Gaston County </t>
  </si>
  <si>
    <t>27A</t>
  </si>
  <si>
    <t>Graham County</t>
  </si>
  <si>
    <t xml:space="preserve">Greene County </t>
  </si>
  <si>
    <t xml:space="preserve">Men in Transition, S.A.F.E. in Lenoir County </t>
  </si>
  <si>
    <t xml:space="preserve">Guilford County </t>
  </si>
  <si>
    <t xml:space="preserve">DVIP, FS of the Piedmont </t>
  </si>
  <si>
    <t xml:space="preserve">Harnett County </t>
  </si>
  <si>
    <t xml:space="preserve">HALT, Eleventh Judicial District ReEntry, Inc. </t>
  </si>
  <si>
    <t xml:space="preserve">Haywood County </t>
  </si>
  <si>
    <t xml:space="preserve">Henderson County </t>
  </si>
  <si>
    <t>29B</t>
  </si>
  <si>
    <t xml:space="preserve">Safelight, Inc. </t>
  </si>
  <si>
    <t xml:space="preserve">Hoke County </t>
  </si>
  <si>
    <t xml:space="preserve">Iredell County </t>
  </si>
  <si>
    <t>22A</t>
  </si>
  <si>
    <t>Break the Cycle/Rompiendo El Ciclo</t>
  </si>
  <si>
    <t>Break the Cycle</t>
  </si>
  <si>
    <t xml:space="preserve">Jackson County </t>
  </si>
  <si>
    <t xml:space="preserve">Johnston County </t>
  </si>
  <si>
    <t xml:space="preserve">Jones County </t>
  </si>
  <si>
    <t xml:space="preserve">Lee County </t>
  </si>
  <si>
    <t xml:space="preserve">Lenoir County </t>
  </si>
  <si>
    <t xml:space="preserve">Lincoln County </t>
  </si>
  <si>
    <t xml:space="preserve">Macon County </t>
  </si>
  <si>
    <t xml:space="preserve">Madison County </t>
  </si>
  <si>
    <t>RHA Behavioral Health</t>
  </si>
  <si>
    <t xml:space="preserve">Martin County </t>
  </si>
  <si>
    <t xml:space="preserve">Project Hope </t>
  </si>
  <si>
    <t xml:space="preserve">McDowell County </t>
  </si>
  <si>
    <t>29A</t>
  </si>
  <si>
    <t>Denise Harrison Counseling</t>
  </si>
  <si>
    <t>Mecklenburg County</t>
  </si>
  <si>
    <t xml:space="preserve">NOVA, Women's Commission </t>
  </si>
  <si>
    <t>NOVA</t>
  </si>
  <si>
    <t xml:space="preserve">Mitchell County </t>
  </si>
  <si>
    <t>Denise Harrison</t>
  </si>
  <si>
    <t xml:space="preserve">Montgomery County </t>
  </si>
  <si>
    <t>19B</t>
  </si>
  <si>
    <t>New Horizons</t>
  </si>
  <si>
    <t xml:space="preserve">Nash County </t>
  </si>
  <si>
    <t xml:space="preserve">Onslow County </t>
  </si>
  <si>
    <t xml:space="preserve">Orange County </t>
  </si>
  <si>
    <t xml:space="preserve">Pamlico County </t>
  </si>
  <si>
    <t xml:space="preserve">Pender County </t>
  </si>
  <si>
    <t xml:space="preserve">Pitt County </t>
  </si>
  <si>
    <t>3A</t>
  </si>
  <si>
    <t>The Great Program/The Center for Family Violence Prevention</t>
  </si>
  <si>
    <t xml:space="preserve">Polk County </t>
  </si>
  <si>
    <t>DAIP, Steps to Hope</t>
  </si>
  <si>
    <t xml:space="preserve">Randolph County </t>
  </si>
  <si>
    <t>Randolph County Family Crisis Center / Phoenix</t>
  </si>
  <si>
    <t xml:space="preserve">Robeson County </t>
  </si>
  <si>
    <t>16B</t>
  </si>
  <si>
    <t>Choices ATP, Southeastern Family Violence Center</t>
  </si>
  <si>
    <t xml:space="preserve">Rockingham County </t>
  </si>
  <si>
    <t>17A</t>
  </si>
  <si>
    <t>ReDirections, DVIP</t>
  </si>
  <si>
    <t xml:space="preserve">Rowan County </t>
  </si>
  <si>
    <t>19C</t>
  </si>
  <si>
    <t>T&amp;T</t>
  </si>
  <si>
    <t xml:space="preserve">Rutherford County </t>
  </si>
  <si>
    <t>Steps to Hope</t>
  </si>
  <si>
    <t xml:space="preserve">Preferred Choice </t>
  </si>
  <si>
    <t xml:space="preserve">Sampson County </t>
  </si>
  <si>
    <t xml:space="preserve">Stanly County </t>
  </si>
  <si>
    <t>20A</t>
  </si>
  <si>
    <t xml:space="preserve">Surry County </t>
  </si>
  <si>
    <t>17B</t>
  </si>
  <si>
    <t xml:space="preserve">Swain County </t>
  </si>
  <si>
    <t xml:space="preserve">Transylvania County </t>
  </si>
  <si>
    <t xml:space="preserve">DVIP, SAFE, Inc. </t>
  </si>
  <si>
    <t xml:space="preserve">Union County </t>
  </si>
  <si>
    <t xml:space="preserve">20B, C, D </t>
  </si>
  <si>
    <t>STOP</t>
  </si>
  <si>
    <t xml:space="preserve">Vance County </t>
  </si>
  <si>
    <t>9, 9B</t>
  </si>
  <si>
    <t xml:space="preserve">Wake County </t>
  </si>
  <si>
    <t>CosTran Batterer Intervention Program</t>
  </si>
  <si>
    <t>CosTran</t>
  </si>
  <si>
    <t>DOSE, Triangle Family Services</t>
  </si>
  <si>
    <t>DOSE</t>
  </si>
  <si>
    <t xml:space="preserve">Warren County </t>
  </si>
  <si>
    <t xml:space="preserve">Wayne County </t>
  </si>
  <si>
    <t xml:space="preserve">DVP, Wayne Uplift Resource Association, Inc. </t>
  </si>
  <si>
    <t xml:space="preserve">Wilkes County </t>
  </si>
  <si>
    <t xml:space="preserve">Wilson County </t>
  </si>
  <si>
    <t xml:space="preserve">Yadkin County </t>
  </si>
  <si>
    <t>Christine Werner-Booher DVATP</t>
  </si>
  <si>
    <t xml:space="preserve">Yancey County </t>
  </si>
  <si>
    <t>PP</t>
  </si>
  <si>
    <t>SR</t>
  </si>
  <si>
    <t>SA</t>
  </si>
  <si>
    <t>MH</t>
  </si>
  <si>
    <t>Civ C</t>
  </si>
  <si>
    <t>Crim C</t>
  </si>
  <si>
    <t>Q4</t>
  </si>
  <si>
    <t>Q3</t>
  </si>
  <si>
    <t>Q2</t>
  </si>
  <si>
    <t>Q1</t>
  </si>
  <si>
    <t>Quarterly Totals by Referring Source</t>
  </si>
  <si>
    <t xml:space="preserve">Q4 Total </t>
  </si>
  <si>
    <t>Q3 Total</t>
  </si>
  <si>
    <t xml:space="preserve">Q2 Total </t>
  </si>
  <si>
    <t>Q1 Total</t>
  </si>
  <si>
    <t>Impact, The Be There Group</t>
  </si>
  <si>
    <t>Preferred Choice</t>
  </si>
  <si>
    <t>Pathways to Change</t>
  </si>
  <si>
    <t>Project Hope</t>
  </si>
  <si>
    <t>Break the Cycle / Rompiendo el Cicle</t>
  </si>
  <si>
    <t>Chatham County</t>
  </si>
  <si>
    <t xml:space="preserve">Carteret County </t>
  </si>
  <si>
    <t>SF</t>
  </si>
  <si>
    <t>SM</t>
  </si>
  <si>
    <t xml:space="preserve">Referral Outcome Information --Referrals Assessed and Enrolled </t>
  </si>
  <si>
    <t>Stanly County</t>
  </si>
  <si>
    <t xml:space="preserve">Steps to Hope </t>
  </si>
  <si>
    <t>Break the Cycle/ Rompiendo el Cicle</t>
  </si>
  <si>
    <t>Pending Assessment</t>
  </si>
  <si>
    <t xml:space="preserve">Other </t>
  </si>
  <si>
    <t xml:space="preserve">No Shows </t>
  </si>
  <si>
    <t>New Charges</t>
  </si>
  <si>
    <t>Probation Revoked</t>
  </si>
  <si>
    <t>Referral Outcome Information -- Explanations Why Referrals Were Not Enrolled</t>
  </si>
  <si>
    <t>Orange County</t>
  </si>
  <si>
    <t>SSF</t>
  </si>
  <si>
    <t>SSM</t>
  </si>
  <si>
    <t xml:space="preserve">Total Number in all groups this quarter </t>
  </si>
  <si>
    <t>Number of Participants Terminated</t>
  </si>
  <si>
    <t xml:space="preserve">Number of Participants Completing </t>
  </si>
  <si>
    <t xml:space="preserve">Referral Outcome Information -- Participant Outcome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</si>
</sst>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b/>
      <sz val="10"/>
      <name val="Arial"/>
      <family val="2"/>
    </font>
    <font>
      <sz val="10"/>
      <name val="Arial"/>
      <family val="2"/>
    </font>
    <font>
      <b/>
      <sz val="11"/>
      <color theme="1"/>
      <name val="Calibri"/>
      <family val="2"/>
      <scheme val="minor"/>
    </font>
    <font>
      <sz val="11"/>
      <name val="Calibri"/>
      <family val="2"/>
      <scheme val="minor"/>
    </font>
    <font>
      <sz val="10"/>
      <color theme="1"/>
      <name val="Calibri"/>
      <family val="2"/>
      <scheme val="minor"/>
    </font>
    <font>
      <sz val="9"/>
      <color theme="1"/>
      <name val="Calibri"/>
      <family val="2"/>
      <scheme val="minor"/>
    </font>
  </fonts>
  <fills count="19">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theme="5"/>
        <bgColor indexed="64"/>
      </patternFill>
    </fill>
    <fill>
      <patternFill patternType="solid">
        <fgColor theme="4" tint="0.59999389629810485"/>
        <bgColor indexed="64"/>
      </patternFill>
    </fill>
    <fill>
      <patternFill patternType="solid">
        <fgColor theme="9"/>
        <bgColor indexed="64"/>
      </patternFill>
    </fill>
    <fill>
      <patternFill patternType="solid">
        <fgColor theme="4"/>
        <bgColor indexed="64"/>
      </patternFill>
    </fill>
    <fill>
      <patternFill patternType="solid">
        <fgColor theme="4" tint="0.79998168889431442"/>
        <bgColor indexed="64"/>
      </patternFill>
    </fill>
    <fill>
      <patternFill patternType="solid">
        <fgColor rgb="FFFFC000"/>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2" tint="-0.499984740745262"/>
        <bgColor indexed="64"/>
      </patternFill>
    </fill>
    <fill>
      <patternFill patternType="solid">
        <fgColor theme="6" tint="-0.249977111117893"/>
        <bgColor indexed="64"/>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1" fillId="0" borderId="0"/>
  </cellStyleXfs>
  <cellXfs count="142">
    <xf numFmtId="0" fontId="0" fillId="0" borderId="0" xfId="0"/>
    <xf numFmtId="0" fontId="2"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3" borderId="3"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4" borderId="5" xfId="0" applyFont="1" applyFill="1" applyBorder="1" applyAlignment="1">
      <alignment horizontal="left" vertical="center"/>
    </xf>
    <xf numFmtId="3" fontId="2" fillId="4" borderId="5" xfId="0" applyNumberFormat="1" applyFont="1" applyFill="1" applyBorder="1" applyAlignment="1">
      <alignment horizontal="center" vertical="center" wrapText="1"/>
    </xf>
    <xf numFmtId="3" fontId="1" fillId="5" borderId="6" xfId="1" applyNumberFormat="1" applyFill="1" applyBorder="1" applyAlignment="1">
      <alignment horizontal="center"/>
    </xf>
    <xf numFmtId="3" fontId="0" fillId="0" borderId="5" xfId="0" applyNumberFormat="1" applyBorder="1" applyAlignment="1">
      <alignment horizontal="center" vertical="center"/>
    </xf>
    <xf numFmtId="3" fontId="0" fillId="5" borderId="5" xfId="0" applyNumberFormat="1" applyFill="1" applyBorder="1" applyAlignment="1">
      <alignment horizontal="center" vertical="center" wrapText="1"/>
    </xf>
    <xf numFmtId="3" fontId="3" fillId="6" borderId="6" xfId="1" applyNumberFormat="1" applyFont="1" applyFill="1" applyBorder="1" applyAlignment="1">
      <alignment horizontal="center"/>
    </xf>
    <xf numFmtId="3" fontId="0" fillId="6" borderId="5" xfId="0" applyNumberFormat="1" applyFill="1" applyBorder="1" applyAlignment="1">
      <alignment horizontal="center" vertical="center"/>
    </xf>
    <xf numFmtId="3" fontId="0" fillId="6" borderId="5" xfId="0" applyNumberFormat="1" applyFill="1" applyBorder="1" applyAlignment="1">
      <alignment horizontal="center" vertical="center" wrapText="1"/>
    </xf>
    <xf numFmtId="3" fontId="3" fillId="5" borderId="6" xfId="1" applyNumberFormat="1" applyFont="1" applyFill="1" applyBorder="1" applyAlignment="1">
      <alignment horizontal="center"/>
    </xf>
    <xf numFmtId="3" fontId="0" fillId="5" borderId="5" xfId="0" applyNumberFormat="1" applyFill="1" applyBorder="1" applyAlignment="1">
      <alignment horizontal="center" vertical="center"/>
    </xf>
    <xf numFmtId="3" fontId="1" fillId="6" borderId="6" xfId="1" applyNumberFormat="1" applyFill="1" applyBorder="1" applyAlignment="1">
      <alignment horizontal="center"/>
    </xf>
    <xf numFmtId="3" fontId="1" fillId="6" borderId="6" xfId="1" applyNumberFormat="1" applyFill="1" applyBorder="1" applyAlignment="1">
      <alignment horizontal="center" vertical="top"/>
    </xf>
    <xf numFmtId="3" fontId="1" fillId="5" borderId="6" xfId="1" applyNumberFormat="1" applyFill="1" applyBorder="1" applyAlignment="1">
      <alignment horizontal="center" vertical="top"/>
    </xf>
    <xf numFmtId="3" fontId="3" fillId="6" borderId="6" xfId="1" applyNumberFormat="1" applyFont="1" applyFill="1" applyBorder="1" applyAlignment="1">
      <alignment horizontal="center" vertical="top"/>
    </xf>
    <xf numFmtId="3" fontId="3" fillId="5" borderId="6" xfId="1" applyNumberFormat="1" applyFont="1" applyFill="1" applyBorder="1" applyAlignment="1">
      <alignment horizontal="center" vertical="top"/>
    </xf>
    <xf numFmtId="3" fontId="3" fillId="6" borderId="6" xfId="1" applyNumberFormat="1" applyFont="1" applyFill="1" applyBorder="1" applyAlignment="1">
      <alignment horizontal="center" vertical="center"/>
    </xf>
    <xf numFmtId="0" fontId="2" fillId="4" borderId="0" xfId="0" applyFont="1" applyFill="1" applyAlignment="1">
      <alignment horizontal="left" vertical="center"/>
    </xf>
    <xf numFmtId="3" fontId="2" fillId="4" borderId="5" xfId="0" applyNumberFormat="1" applyFont="1" applyFill="1" applyBorder="1" applyAlignment="1">
      <alignment horizontal="center" vertical="center"/>
    </xf>
    <xf numFmtId="0" fontId="0" fillId="0" borderId="5" xfId="0" applyFill="1" applyBorder="1" applyAlignment="1">
      <alignment horizontal="left" vertical="center"/>
    </xf>
    <xf numFmtId="0" fontId="2" fillId="7" borderId="3" xfId="0" applyFont="1" applyFill="1" applyBorder="1" applyAlignment="1">
      <alignment horizontal="center" vertical="center"/>
    </xf>
    <xf numFmtId="3" fontId="2" fillId="7" borderId="5" xfId="0" applyNumberFormat="1" applyFont="1" applyFill="1" applyBorder="1" applyAlignment="1">
      <alignment horizontal="center" vertical="center" wrapText="1"/>
    </xf>
    <xf numFmtId="0" fontId="2" fillId="8" borderId="1" xfId="0" applyFont="1" applyFill="1" applyBorder="1" applyAlignment="1">
      <alignment horizontal="center" vertical="center"/>
    </xf>
    <xf numFmtId="0" fontId="2" fillId="9" borderId="1" xfId="0" applyFont="1" applyFill="1" applyBorder="1" applyAlignment="1">
      <alignment horizontal="left" vertical="center"/>
    </xf>
    <xf numFmtId="0" fontId="2" fillId="9" borderId="3" xfId="0" applyFont="1" applyFill="1" applyBorder="1" applyAlignment="1">
      <alignment horizontal="center" vertical="center"/>
    </xf>
    <xf numFmtId="0" fontId="2" fillId="9" borderId="3" xfId="0" applyFont="1" applyFill="1" applyBorder="1" applyAlignment="1">
      <alignment horizontal="center" vertical="center" wrapText="1"/>
    </xf>
    <xf numFmtId="0" fontId="2" fillId="10" borderId="5" xfId="0" applyFont="1" applyFill="1" applyBorder="1" applyAlignment="1">
      <alignment horizontal="left" vertical="center"/>
    </xf>
    <xf numFmtId="3" fontId="2" fillId="10" borderId="6" xfId="0" applyNumberFormat="1" applyFont="1" applyFill="1" applyBorder="1" applyAlignment="1">
      <alignment horizontal="center" vertical="center"/>
    </xf>
    <xf numFmtId="3" fontId="2" fillId="10" borderId="6" xfId="0" applyNumberFormat="1" applyFont="1" applyFill="1" applyBorder="1" applyAlignment="1">
      <alignment horizontal="center" vertical="center" wrapText="1"/>
    </xf>
    <xf numFmtId="3" fontId="0" fillId="0" borderId="6" xfId="0" applyNumberFormat="1" applyBorder="1" applyAlignment="1">
      <alignment horizontal="center" vertical="center"/>
    </xf>
    <xf numFmtId="3" fontId="0" fillId="11" borderId="6" xfId="0" applyNumberFormat="1" applyFill="1" applyBorder="1" applyAlignment="1">
      <alignment horizontal="center" vertical="center"/>
    </xf>
    <xf numFmtId="3" fontId="0" fillId="11" borderId="5" xfId="0" applyNumberFormat="1" applyFill="1" applyBorder="1" applyAlignment="1">
      <alignment horizontal="center" vertical="center"/>
    </xf>
    <xf numFmtId="3" fontId="3" fillId="0" borderId="6" xfId="0" applyNumberFormat="1" applyFont="1" applyBorder="1" applyAlignment="1">
      <alignment horizontal="center" vertical="center"/>
    </xf>
    <xf numFmtId="3" fontId="2" fillId="12" borderId="6" xfId="0"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0" fontId="4" fillId="0" borderId="0" xfId="1" applyFont="1"/>
    <xf numFmtId="0" fontId="4" fillId="4" borderId="0" xfId="1" applyFont="1" applyFill="1"/>
    <xf numFmtId="3" fontId="0" fillId="0" borderId="5" xfId="0" applyNumberFormat="1" applyFill="1" applyBorder="1" applyAlignment="1">
      <alignment horizontal="center" vertical="center"/>
    </xf>
    <xf numFmtId="0" fontId="1" fillId="6" borderId="6" xfId="1" applyFill="1" applyBorder="1" applyAlignment="1">
      <alignment horizontal="center"/>
    </xf>
    <xf numFmtId="0" fontId="0" fillId="0" borderId="5" xfId="0" applyFill="1" applyBorder="1" applyAlignment="1">
      <alignment horizontal="left" vertical="center" wrapText="1"/>
    </xf>
    <xf numFmtId="3" fontId="5" fillId="6" borderId="5" xfId="0" applyNumberFormat="1" applyFont="1" applyFill="1" applyBorder="1" applyAlignment="1">
      <alignment horizontal="center" vertical="center"/>
    </xf>
    <xf numFmtId="0" fontId="0" fillId="0" borderId="10" xfId="0" applyFill="1" applyBorder="1" applyAlignment="1">
      <alignment horizontal="left" vertical="center"/>
    </xf>
    <xf numFmtId="0" fontId="0" fillId="0" borderId="0" xfId="0" applyAlignment="1">
      <alignment horizontal="center" vertical="center" wrapText="1"/>
    </xf>
    <xf numFmtId="0" fontId="0" fillId="0" borderId="0" xfId="0" applyAlignment="1">
      <alignment horizontal="center" vertical="center"/>
    </xf>
    <xf numFmtId="0" fontId="0" fillId="3" borderId="7" xfId="0" applyFill="1" applyBorder="1" applyAlignment="1">
      <alignment horizontal="center"/>
    </xf>
    <xf numFmtId="0" fontId="0" fillId="3" borderId="8" xfId="0" applyFill="1" applyBorder="1" applyAlignment="1">
      <alignment horizontal="center"/>
    </xf>
    <xf numFmtId="0" fontId="0" fillId="3" borderId="8" xfId="0" applyFill="1" applyBorder="1"/>
    <xf numFmtId="0" fontId="0" fillId="3" borderId="3" xfId="0" applyFill="1" applyBorder="1"/>
    <xf numFmtId="0" fontId="0" fillId="3" borderId="1" xfId="0" applyFill="1" applyBorder="1" applyAlignment="1">
      <alignment wrapText="1"/>
    </xf>
    <xf numFmtId="0" fontId="0" fillId="3" borderId="1" xfId="0" applyFill="1" applyBorder="1" applyAlignment="1">
      <alignment horizontal="left" wrapText="1"/>
    </xf>
    <xf numFmtId="0" fontId="0" fillId="0" borderId="0" xfId="0" applyAlignment="1">
      <alignment horizontal="left"/>
    </xf>
    <xf numFmtId="0" fontId="0" fillId="11" borderId="2" xfId="0" applyFill="1" applyBorder="1"/>
    <xf numFmtId="0" fontId="0" fillId="13" borderId="2" xfId="0" applyFill="1" applyBorder="1"/>
    <xf numFmtId="0" fontId="0" fillId="5" borderId="1" xfId="0" applyFill="1" applyBorder="1"/>
    <xf numFmtId="0" fontId="0" fillId="6" borderId="1" xfId="0" applyFill="1" applyBorder="1"/>
    <xf numFmtId="0" fontId="0" fillId="3" borderId="0" xfId="0" applyFill="1"/>
    <xf numFmtId="0" fontId="0" fillId="0" borderId="1" xfId="0" applyBorder="1"/>
    <xf numFmtId="0" fontId="0" fillId="13" borderId="1" xfId="0" applyFill="1" applyBorder="1"/>
    <xf numFmtId="0" fontId="0" fillId="14" borderId="1" xfId="0" applyFill="1" applyBorder="1"/>
    <xf numFmtId="0" fontId="0" fillId="15" borderId="1" xfId="0" applyFill="1" applyBorder="1"/>
    <xf numFmtId="0" fontId="0" fillId="16" borderId="1" xfId="0" applyFill="1" applyBorder="1"/>
    <xf numFmtId="0" fontId="0" fillId="17" borderId="1" xfId="0" applyFill="1" applyBorder="1"/>
    <xf numFmtId="0" fontId="0" fillId="18" borderId="1" xfId="0" applyFill="1" applyBorder="1"/>
    <xf numFmtId="0" fontId="0" fillId="18" borderId="1" xfId="0" applyFill="1" applyBorder="1" applyAlignment="1">
      <alignment horizontal="left"/>
    </xf>
    <xf numFmtId="0" fontId="0" fillId="3" borderId="1" xfId="0" applyFill="1" applyBorder="1"/>
    <xf numFmtId="0" fontId="0" fillId="15" borderId="2" xfId="0" applyFill="1" applyBorder="1"/>
    <xf numFmtId="0" fontId="0" fillId="18" borderId="7" xfId="0" applyFill="1" applyBorder="1" applyAlignment="1">
      <alignment horizontal="left"/>
    </xf>
    <xf numFmtId="0" fontId="6" fillId="0" borderId="13" xfId="0" applyFont="1" applyBorder="1" applyAlignment="1">
      <alignment horizontal="center" wrapText="1"/>
    </xf>
    <xf numFmtId="0" fontId="6" fillId="0" borderId="0" xfId="0" applyFont="1" applyAlignment="1">
      <alignment horizontal="center" wrapText="1"/>
    </xf>
    <xf numFmtId="0" fontId="0" fillId="18" borderId="2" xfId="0" applyFill="1" applyBorder="1"/>
    <xf numFmtId="0" fontId="0" fillId="3" borderId="2" xfId="0" applyFill="1" applyBorder="1"/>
    <xf numFmtId="0" fontId="0" fillId="3" borderId="6" xfId="0" applyFill="1" applyBorder="1"/>
    <xf numFmtId="0" fontId="6" fillId="18" borderId="1" xfId="0" applyFont="1" applyFill="1" applyBorder="1"/>
    <xf numFmtId="0" fontId="7" fillId="18" borderId="1" xfId="0" applyFont="1" applyFill="1" applyBorder="1"/>
    <xf numFmtId="0" fontId="6" fillId="18" borderId="1" xfId="0" applyFont="1" applyFill="1" applyBorder="1" applyAlignment="1">
      <alignment horizontal="center" vertical="center" wrapText="1"/>
    </xf>
    <xf numFmtId="0" fontId="0" fillId="5" borderId="0" xfId="0" applyFill="1"/>
    <xf numFmtId="0" fontId="0" fillId="0" borderId="4" xfId="0" applyBorder="1"/>
    <xf numFmtId="0" fontId="0" fillId="13" borderId="4" xfId="0" applyFill="1" applyBorder="1"/>
    <xf numFmtId="0" fontId="0" fillId="14" borderId="4" xfId="0" applyFill="1" applyBorder="1"/>
    <xf numFmtId="0" fontId="6" fillId="18" borderId="0" xfId="0" applyFont="1" applyFill="1" applyAlignment="1">
      <alignment horizontal="center" vertical="center" wrapText="1"/>
    </xf>
    <xf numFmtId="0" fontId="0" fillId="18" borderId="0" xfId="0" applyFill="1" applyAlignment="1">
      <alignment horizontal="left"/>
    </xf>
    <xf numFmtId="0" fontId="6" fillId="0" borderId="0" xfId="0" applyFont="1" applyAlignment="1">
      <alignment horizontal="center" vertical="center" wrapText="1"/>
    </xf>
    <xf numFmtId="0" fontId="0" fillId="0" borderId="0" xfId="0" applyAlignment="1">
      <alignment wrapText="1"/>
    </xf>
    <xf numFmtId="0" fontId="0" fillId="18" borderId="0" xfId="0" applyFill="1"/>
    <xf numFmtId="0" fontId="0" fillId="15" borderId="1" xfId="0" applyFill="1" applyBorder="1" applyProtection="1">
      <protection locked="0"/>
    </xf>
    <xf numFmtId="0" fontId="0" fillId="3" borderId="1" xfId="0" applyFill="1" applyBorder="1" applyAlignment="1">
      <alignment vertical="center" wrapText="1"/>
    </xf>
    <xf numFmtId="0" fontId="0" fillId="3" borderId="1" xfId="0" applyFill="1" applyBorder="1" applyAlignment="1">
      <alignment horizontal="left" vertical="center" wrapText="1"/>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8" borderId="1"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8" xfId="0" applyFont="1" applyFill="1" applyBorder="1" applyAlignment="1">
      <alignment horizontal="center" vertical="center"/>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xf>
    <xf numFmtId="0" fontId="2" fillId="8" borderId="4" xfId="0" applyFont="1" applyFill="1" applyBorder="1" applyAlignment="1">
      <alignment horizontal="center" vertical="center"/>
    </xf>
    <xf numFmtId="0" fontId="2" fillId="8" borderId="2"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top" wrapText="1"/>
    </xf>
    <xf numFmtId="0" fontId="6" fillId="0" borderId="0" xfId="0" applyFont="1" applyAlignment="1">
      <alignment horizontal="center" vertical="center" wrapText="1"/>
    </xf>
    <xf numFmtId="0" fontId="6" fillId="0" borderId="0" xfId="0" applyFont="1" applyAlignment="1">
      <alignment horizontal="center" wrapText="1"/>
    </xf>
    <xf numFmtId="0" fontId="6" fillId="0" borderId="0" xfId="0" applyFont="1" applyAlignment="1">
      <alignment wrapText="1"/>
    </xf>
    <xf numFmtId="0" fontId="6" fillId="0" borderId="0" xfId="0" applyFont="1" applyAlignment="1">
      <alignment vertical="center"/>
    </xf>
    <xf numFmtId="0" fontId="6" fillId="0" borderId="0" xfId="0" applyFont="1" applyAlignment="1">
      <alignment horizontal="left" vertical="center"/>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3" xfId="0" applyFill="1" applyBorder="1" applyAlignment="1">
      <alignment horizontal="center" vertical="center" wrapText="1"/>
    </xf>
    <xf numFmtId="0" fontId="0" fillId="6" borderId="7" xfId="0" applyFill="1" applyBorder="1"/>
    <xf numFmtId="0" fontId="0" fillId="6" borderId="8" xfId="0" applyFill="1" applyBorder="1"/>
    <xf numFmtId="0" fontId="0" fillId="6" borderId="3" xfId="0" applyFill="1" applyBorder="1"/>
    <xf numFmtId="0" fontId="0" fillId="15" borderId="7" xfId="0" applyFill="1" applyBorder="1" applyAlignment="1">
      <alignment horizontal="center"/>
    </xf>
    <xf numFmtId="0" fontId="0" fillId="15" borderId="8" xfId="0" applyFill="1" applyBorder="1" applyAlignment="1">
      <alignment horizontal="center"/>
    </xf>
    <xf numFmtId="0" fontId="0" fillId="15" borderId="3" xfId="0" applyFill="1" applyBorder="1" applyAlignment="1">
      <alignment horizontal="center"/>
    </xf>
    <xf numFmtId="0" fontId="0" fillId="3" borderId="7" xfId="0" applyFill="1" applyBorder="1" applyAlignment="1">
      <alignment horizontal="center" wrapText="1"/>
    </xf>
    <xf numFmtId="0" fontId="0" fillId="3" borderId="8" xfId="0" applyFill="1" applyBorder="1" applyAlignment="1">
      <alignment horizontal="center" wrapText="1"/>
    </xf>
    <xf numFmtId="0" fontId="0" fillId="3" borderId="3" xfId="0" applyFill="1" applyBorder="1" applyAlignment="1">
      <alignment horizontal="center" wrapText="1"/>
    </xf>
    <xf numFmtId="0" fontId="0" fillId="0" borderId="0" xfId="0" applyAlignment="1">
      <alignment horizontal="center" vertical="center"/>
    </xf>
    <xf numFmtId="0" fontId="0" fillId="0" borderId="0" xfId="0" applyAlignment="1">
      <alignment horizontal="center"/>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3" xfId="0" applyFill="1" applyBorder="1" applyAlignment="1">
      <alignment horizontal="center" vertical="center"/>
    </xf>
    <xf numFmtId="0" fontId="6" fillId="0" borderId="13" xfId="0" applyFont="1" applyBorder="1" applyAlignment="1">
      <alignment horizontal="center" wrapText="1"/>
    </xf>
    <xf numFmtId="0" fontId="0" fillId="3" borderId="7" xfId="0" applyFill="1" applyBorder="1" applyAlignment="1">
      <alignment horizontal="center"/>
    </xf>
    <xf numFmtId="0" fontId="0" fillId="3" borderId="8" xfId="0" applyFill="1" applyBorder="1" applyAlignment="1">
      <alignment horizontal="center"/>
    </xf>
    <xf numFmtId="0" fontId="0" fillId="3" borderId="3" xfId="0" applyFill="1" applyBorder="1" applyAlignment="1">
      <alignment horizontal="center"/>
    </xf>
  </cellXfs>
  <cellStyles count="2">
    <cellStyle name="Normal" xfId="0" builtinId="0"/>
    <cellStyle name="Normal 2" xfId="1" xr:uid="{058EFBE4-C892-4BE3-81E7-D3F927B5E9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266700</xdr:colOff>
      <xdr:row>3</xdr:row>
      <xdr:rowOff>0</xdr:rowOff>
    </xdr:from>
    <xdr:to>
      <xdr:col>9</xdr:col>
      <xdr:colOff>457200</xdr:colOff>
      <xdr:row>7</xdr:row>
      <xdr:rowOff>38100</xdr:rowOff>
    </xdr:to>
    <xdr:pic>
      <xdr:nvPicPr>
        <xdr:cNvPr id="2" name="Picture 1">
          <a:extLst>
            <a:ext uri="{FF2B5EF4-FFF2-40B4-BE49-F238E27FC236}">
              <a16:creationId xmlns:a16="http://schemas.microsoft.com/office/drawing/2014/main" id="{3A9AD8E4-24C9-43C3-BFA6-97091FE48F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0" y="571500"/>
          <a:ext cx="8001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44DAE-C360-46EC-BE8D-32FC353085F8}">
  <dimension ref="A1:AU110"/>
  <sheetViews>
    <sheetView tabSelected="1" topLeftCell="A2" zoomScale="60" zoomScaleNormal="60" workbookViewId="0">
      <pane ySplit="2" topLeftCell="A46" activePane="bottomLeft" state="frozen"/>
      <selection activeCell="A2" sqref="A2"/>
      <selection pane="bottomLeft" activeCell="A71" sqref="A71"/>
    </sheetView>
  </sheetViews>
  <sheetFormatPr defaultRowHeight="14.5" x14ac:dyDescent="0.35"/>
  <cols>
    <col min="1" max="1" width="28.7265625" bestFit="1" customWidth="1"/>
    <col min="2" max="2" width="13.453125" customWidth="1"/>
    <col min="3" max="3" width="11.26953125" customWidth="1"/>
    <col min="5" max="5" width="10.1796875" customWidth="1"/>
    <col min="13" max="13" width="10.26953125" customWidth="1"/>
    <col min="24" max="24" width="10.1796875" customWidth="1"/>
    <col min="25" max="25" width="11" customWidth="1"/>
    <col min="26" max="26" width="9.54296875" customWidth="1"/>
    <col min="27" max="27" width="9.81640625" customWidth="1"/>
    <col min="28" max="28" width="11.1796875" customWidth="1"/>
    <col min="29" max="29" width="10.1796875" customWidth="1"/>
    <col min="32" max="32" width="11.26953125" customWidth="1"/>
    <col min="41" max="41" width="11.26953125" customWidth="1"/>
  </cols>
  <sheetData>
    <row r="1" spans="1:47" x14ac:dyDescent="0.35">
      <c r="A1" s="1" t="s">
        <v>0</v>
      </c>
      <c r="B1" s="93" t="s">
        <v>149</v>
      </c>
      <c r="C1" s="95" t="s">
        <v>1</v>
      </c>
      <c r="D1" s="95" t="s">
        <v>2</v>
      </c>
      <c r="E1" s="91" t="s">
        <v>3</v>
      </c>
      <c r="F1" s="91"/>
      <c r="G1" s="91"/>
      <c r="H1" s="91"/>
      <c r="I1" s="91"/>
      <c r="J1" s="91"/>
      <c r="K1" s="91"/>
      <c r="L1" s="91"/>
      <c r="M1" s="91" t="s">
        <v>4</v>
      </c>
      <c r="N1" s="91"/>
      <c r="O1" s="91"/>
      <c r="P1" s="91"/>
      <c r="Q1" s="91" t="s">
        <v>5</v>
      </c>
      <c r="R1" s="91"/>
      <c r="S1" s="91"/>
      <c r="T1" s="91"/>
      <c r="U1" s="92"/>
      <c r="V1" s="92"/>
      <c r="W1" s="92"/>
      <c r="X1" s="92"/>
      <c r="Y1" s="92" t="s">
        <v>6</v>
      </c>
      <c r="Z1" s="92"/>
      <c r="AA1" s="92"/>
      <c r="AB1" s="92"/>
      <c r="AC1" s="92"/>
      <c r="AD1" s="92"/>
      <c r="AE1" s="92"/>
      <c r="AF1" s="92"/>
      <c r="AG1" s="92"/>
      <c r="AH1" s="92"/>
      <c r="AI1" s="92"/>
      <c r="AJ1" s="92"/>
      <c r="AK1" s="96" t="s">
        <v>7</v>
      </c>
      <c r="AL1" s="96"/>
      <c r="AM1" s="92" t="s">
        <v>8</v>
      </c>
      <c r="AN1" s="92"/>
      <c r="AO1" s="95" t="s">
        <v>9</v>
      </c>
      <c r="AP1" s="92" t="s">
        <v>10</v>
      </c>
      <c r="AQ1" s="92"/>
      <c r="AR1" s="92"/>
      <c r="AS1" s="92"/>
      <c r="AT1" s="92"/>
      <c r="AU1" s="92"/>
    </row>
    <row r="2" spans="1:47" ht="91" x14ac:dyDescent="0.35">
      <c r="A2" s="2" t="s">
        <v>202</v>
      </c>
      <c r="B2" s="94"/>
      <c r="C2" s="95"/>
      <c r="D2" s="95"/>
      <c r="E2" s="3" t="s">
        <v>11</v>
      </c>
      <c r="F2" s="3" t="s">
        <v>12</v>
      </c>
      <c r="G2" s="3" t="s">
        <v>13</v>
      </c>
      <c r="H2" s="4" t="s">
        <v>14</v>
      </c>
      <c r="I2" s="3" t="s">
        <v>15</v>
      </c>
      <c r="J2" s="3" t="s">
        <v>16</v>
      </c>
      <c r="K2" s="3" t="s">
        <v>17</v>
      </c>
      <c r="L2" s="24" t="s">
        <v>18</v>
      </c>
      <c r="M2" s="3" t="s">
        <v>19</v>
      </c>
      <c r="N2" s="3" t="s">
        <v>20</v>
      </c>
      <c r="O2" s="3" t="s">
        <v>17</v>
      </c>
      <c r="P2" s="24" t="s">
        <v>18</v>
      </c>
      <c r="Q2" s="3" t="s">
        <v>21</v>
      </c>
      <c r="R2" s="3" t="s">
        <v>22</v>
      </c>
      <c r="S2" s="3" t="s">
        <v>23</v>
      </c>
      <c r="T2" s="3" t="s">
        <v>24</v>
      </c>
      <c r="U2" s="3" t="s">
        <v>25</v>
      </c>
      <c r="V2" s="3" t="s">
        <v>26</v>
      </c>
      <c r="W2" s="3" t="s">
        <v>16</v>
      </c>
      <c r="X2" s="24" t="s">
        <v>18</v>
      </c>
      <c r="Y2" s="3" t="s">
        <v>186</v>
      </c>
      <c r="Z2" s="3" t="s">
        <v>28</v>
      </c>
      <c r="AA2" s="3" t="s">
        <v>29</v>
      </c>
      <c r="AB2" s="3" t="s">
        <v>30</v>
      </c>
      <c r="AC2" s="3" t="s">
        <v>31</v>
      </c>
      <c r="AD2" s="3" t="s">
        <v>32</v>
      </c>
      <c r="AE2" s="3" t="s">
        <v>33</v>
      </c>
      <c r="AF2" s="4" t="s">
        <v>185</v>
      </c>
      <c r="AG2" s="4" t="s">
        <v>34</v>
      </c>
      <c r="AH2" s="4" t="s">
        <v>35</v>
      </c>
      <c r="AI2" s="4" t="s">
        <v>36</v>
      </c>
      <c r="AJ2" s="4" t="s">
        <v>37</v>
      </c>
      <c r="AK2" s="3" t="s">
        <v>38</v>
      </c>
      <c r="AL2" s="3" t="s">
        <v>39</v>
      </c>
      <c r="AM2" s="4" t="s">
        <v>40</v>
      </c>
      <c r="AN2" s="4" t="s">
        <v>41</v>
      </c>
      <c r="AO2" s="95"/>
      <c r="AP2" s="4" t="s">
        <v>42</v>
      </c>
      <c r="AQ2" s="4" t="s">
        <v>43</v>
      </c>
      <c r="AR2" s="4" t="s">
        <v>44</v>
      </c>
      <c r="AS2" s="4" t="s">
        <v>45</v>
      </c>
      <c r="AT2" s="4" t="s">
        <v>46</v>
      </c>
      <c r="AU2" s="4" t="s">
        <v>47</v>
      </c>
    </row>
    <row r="3" spans="1:47" x14ac:dyDescent="0.35">
      <c r="A3" s="5" t="s">
        <v>48</v>
      </c>
      <c r="B3" s="40">
        <f t="shared" ref="B3:AU3" si="0">SUM(B4:B109)</f>
        <v>11338090</v>
      </c>
      <c r="C3" s="6">
        <f t="shared" si="0"/>
        <v>112686</v>
      </c>
      <c r="D3" s="25">
        <f t="shared" si="0"/>
        <v>60214</v>
      </c>
      <c r="E3" s="6">
        <f t="shared" si="0"/>
        <v>29834</v>
      </c>
      <c r="F3" s="6">
        <f t="shared" si="0"/>
        <v>17866</v>
      </c>
      <c r="G3" s="6">
        <f t="shared" si="0"/>
        <v>5266</v>
      </c>
      <c r="H3" s="6">
        <f t="shared" si="0"/>
        <v>906</v>
      </c>
      <c r="I3" s="6">
        <f t="shared" si="0"/>
        <v>506</v>
      </c>
      <c r="J3" s="6">
        <f t="shared" si="0"/>
        <v>4062</v>
      </c>
      <c r="K3" s="6">
        <f t="shared" si="0"/>
        <v>1774</v>
      </c>
      <c r="L3" s="25">
        <f t="shared" si="0"/>
        <v>60214</v>
      </c>
      <c r="M3" s="6">
        <f t="shared" si="0"/>
        <v>49907</v>
      </c>
      <c r="N3" s="6">
        <f t="shared" si="0"/>
        <v>10119</v>
      </c>
      <c r="O3" s="6">
        <f t="shared" si="0"/>
        <v>188</v>
      </c>
      <c r="P3" s="25">
        <f t="shared" si="0"/>
        <v>60214</v>
      </c>
      <c r="Q3" s="6">
        <f t="shared" si="0"/>
        <v>7834</v>
      </c>
      <c r="R3" s="6">
        <f t="shared" si="0"/>
        <v>3237</v>
      </c>
      <c r="S3" s="6">
        <f t="shared" si="0"/>
        <v>9217</v>
      </c>
      <c r="T3" s="6">
        <f t="shared" si="0"/>
        <v>21991</v>
      </c>
      <c r="U3" s="6">
        <f t="shared" si="0"/>
        <v>12014</v>
      </c>
      <c r="V3" s="6">
        <f t="shared" si="0"/>
        <v>2044</v>
      </c>
      <c r="W3" s="6">
        <f t="shared" si="0"/>
        <v>3877</v>
      </c>
      <c r="X3" s="25">
        <f t="shared" si="0"/>
        <v>60214</v>
      </c>
      <c r="Y3" s="6">
        <f t="shared" si="0"/>
        <v>173019</v>
      </c>
      <c r="Z3" s="6">
        <f t="shared" si="0"/>
        <v>126241</v>
      </c>
      <c r="AA3" s="6">
        <f t="shared" si="0"/>
        <v>93468</v>
      </c>
      <c r="AB3" s="6">
        <f t="shared" si="0"/>
        <v>28278</v>
      </c>
      <c r="AC3" s="6">
        <f t="shared" si="0"/>
        <v>60175</v>
      </c>
      <c r="AD3" s="6">
        <f t="shared" si="0"/>
        <v>2614</v>
      </c>
      <c r="AE3" s="6">
        <f t="shared" si="0"/>
        <v>53944</v>
      </c>
      <c r="AF3" s="6">
        <f t="shared" si="0"/>
        <v>4758</v>
      </c>
      <c r="AG3" s="6">
        <f t="shared" si="0"/>
        <v>2698</v>
      </c>
      <c r="AH3" s="6">
        <f t="shared" si="0"/>
        <v>6219</v>
      </c>
      <c r="AI3" s="6">
        <f t="shared" si="0"/>
        <v>4879</v>
      </c>
      <c r="AJ3" s="6">
        <f t="shared" si="0"/>
        <v>4643</v>
      </c>
      <c r="AK3" s="6">
        <f t="shared" si="0"/>
        <v>6571</v>
      </c>
      <c r="AL3" s="6">
        <f t="shared" si="0"/>
        <v>2486</v>
      </c>
      <c r="AM3" s="6">
        <f t="shared" si="0"/>
        <v>5780</v>
      </c>
      <c r="AN3" s="6">
        <f t="shared" si="0"/>
        <v>1538</v>
      </c>
      <c r="AO3" s="6">
        <f t="shared" si="0"/>
        <v>290393</v>
      </c>
      <c r="AP3" s="6">
        <f t="shared" si="0"/>
        <v>4528</v>
      </c>
      <c r="AQ3" s="6">
        <f t="shared" si="0"/>
        <v>6396</v>
      </c>
      <c r="AR3" s="6">
        <f t="shared" si="0"/>
        <v>214</v>
      </c>
      <c r="AS3" s="6">
        <f t="shared" si="0"/>
        <v>1104</v>
      </c>
      <c r="AT3" s="6">
        <f t="shared" si="0"/>
        <v>5750</v>
      </c>
      <c r="AU3" s="6">
        <f t="shared" si="0"/>
        <v>8768</v>
      </c>
    </row>
    <row r="4" spans="1:47" x14ac:dyDescent="0.35">
      <c r="A4" s="23" t="s">
        <v>49</v>
      </c>
      <c r="B4" s="7">
        <v>163339</v>
      </c>
      <c r="C4" s="8">
        <v>3225</v>
      </c>
      <c r="D4" s="8">
        <v>1104</v>
      </c>
      <c r="E4" s="8">
        <v>541</v>
      </c>
      <c r="F4" s="8">
        <v>310</v>
      </c>
      <c r="G4" s="8">
        <v>121</v>
      </c>
      <c r="H4" s="8">
        <v>6</v>
      </c>
      <c r="I4" s="8">
        <v>4</v>
      </c>
      <c r="J4" s="9">
        <v>79</v>
      </c>
      <c r="K4" s="8">
        <v>43</v>
      </c>
      <c r="L4" s="8">
        <f t="shared" ref="L4:L9" si="1">SUM(E4:K4)</f>
        <v>1104</v>
      </c>
      <c r="M4" s="8">
        <v>907</v>
      </c>
      <c r="N4" s="8">
        <v>129</v>
      </c>
      <c r="O4" s="8">
        <v>68</v>
      </c>
      <c r="P4" s="8">
        <f>SUM(M4:O4)</f>
        <v>1104</v>
      </c>
      <c r="Q4" s="8">
        <v>62</v>
      </c>
      <c r="R4" s="8">
        <v>15</v>
      </c>
      <c r="S4" s="8">
        <v>173</v>
      </c>
      <c r="T4" s="8">
        <v>603</v>
      </c>
      <c r="U4" s="8">
        <v>185</v>
      </c>
      <c r="V4" s="8">
        <v>45</v>
      </c>
      <c r="W4" s="8">
        <v>21</v>
      </c>
      <c r="X4" s="8">
        <f>SUM(Q4:W4)</f>
        <v>1104</v>
      </c>
      <c r="Y4" s="8">
        <v>6892</v>
      </c>
      <c r="Z4" s="8">
        <v>696</v>
      </c>
      <c r="AA4" s="8">
        <v>1451</v>
      </c>
      <c r="AB4" s="8">
        <v>308</v>
      </c>
      <c r="AC4" s="8">
        <v>550</v>
      </c>
      <c r="AD4" s="8">
        <v>19</v>
      </c>
      <c r="AE4" s="8">
        <v>950</v>
      </c>
      <c r="AF4" s="8">
        <v>95</v>
      </c>
      <c r="AG4" s="8">
        <v>17</v>
      </c>
      <c r="AH4" s="8">
        <v>58</v>
      </c>
      <c r="AI4" s="8">
        <v>87</v>
      </c>
      <c r="AJ4" s="8">
        <v>14</v>
      </c>
      <c r="AK4" s="8">
        <v>96</v>
      </c>
      <c r="AL4" s="8">
        <v>37</v>
      </c>
      <c r="AM4" s="8">
        <v>185</v>
      </c>
      <c r="AN4" s="8">
        <v>31</v>
      </c>
      <c r="AO4" s="8">
        <v>2724</v>
      </c>
      <c r="AP4" s="8">
        <v>69</v>
      </c>
      <c r="AQ4" s="8">
        <v>70</v>
      </c>
      <c r="AR4" s="8">
        <v>2</v>
      </c>
      <c r="AS4" s="8">
        <v>5</v>
      </c>
      <c r="AT4" s="8">
        <v>188</v>
      </c>
      <c r="AU4" s="8">
        <v>133</v>
      </c>
    </row>
    <row r="5" spans="1:47" x14ac:dyDescent="0.35">
      <c r="A5" s="23" t="s">
        <v>50</v>
      </c>
      <c r="B5" s="10">
        <v>38206</v>
      </c>
      <c r="C5" s="11">
        <v>305</v>
      </c>
      <c r="D5" s="11">
        <v>551</v>
      </c>
      <c r="E5" s="11">
        <v>541</v>
      </c>
      <c r="F5" s="11">
        <v>7</v>
      </c>
      <c r="G5" s="11">
        <v>3</v>
      </c>
      <c r="H5" s="11">
        <v>0</v>
      </c>
      <c r="I5" s="11">
        <v>0</v>
      </c>
      <c r="J5" s="12">
        <v>0</v>
      </c>
      <c r="K5" s="11">
        <v>0</v>
      </c>
      <c r="L5" s="11">
        <f t="shared" si="1"/>
        <v>551</v>
      </c>
      <c r="M5" s="11">
        <v>466</v>
      </c>
      <c r="N5" s="11">
        <v>85</v>
      </c>
      <c r="O5" s="11">
        <v>0</v>
      </c>
      <c r="P5" s="11">
        <f t="shared" ref="P5:P68" si="2">SUM(M5:O5)</f>
        <v>551</v>
      </c>
      <c r="Q5" s="11">
        <v>66</v>
      </c>
      <c r="R5" s="11">
        <v>58</v>
      </c>
      <c r="S5" s="11">
        <v>189</v>
      </c>
      <c r="T5" s="11">
        <v>189</v>
      </c>
      <c r="U5" s="11">
        <v>44</v>
      </c>
      <c r="V5" s="11">
        <v>5</v>
      </c>
      <c r="W5" s="11">
        <v>0</v>
      </c>
      <c r="X5" s="11">
        <f t="shared" ref="X5:X68" si="3">SUM(Q5:W5)</f>
        <v>551</v>
      </c>
      <c r="Y5" s="11">
        <v>551</v>
      </c>
      <c r="Z5" s="11">
        <v>551</v>
      </c>
      <c r="AA5" s="11">
        <v>256</v>
      </c>
      <c r="AB5" s="11">
        <v>0</v>
      </c>
      <c r="AC5" s="11">
        <v>27</v>
      </c>
      <c r="AD5" s="11">
        <v>0</v>
      </c>
      <c r="AE5" s="11">
        <v>343</v>
      </c>
      <c r="AF5" s="11">
        <v>2</v>
      </c>
      <c r="AG5" s="11">
        <v>0</v>
      </c>
      <c r="AH5" s="11">
        <v>3</v>
      </c>
      <c r="AI5" s="11">
        <v>21</v>
      </c>
      <c r="AJ5" s="11">
        <v>0</v>
      </c>
      <c r="AK5" s="11">
        <v>6</v>
      </c>
      <c r="AL5" s="11">
        <v>0</v>
      </c>
      <c r="AM5" s="11">
        <v>18</v>
      </c>
      <c r="AN5" s="11">
        <v>0</v>
      </c>
      <c r="AO5" s="11">
        <v>0</v>
      </c>
      <c r="AP5" s="11">
        <v>7</v>
      </c>
      <c r="AQ5" s="11">
        <v>9</v>
      </c>
      <c r="AR5" s="11">
        <v>0</v>
      </c>
      <c r="AS5" s="11">
        <v>0</v>
      </c>
      <c r="AT5" s="11">
        <v>0</v>
      </c>
      <c r="AU5" s="11">
        <v>0</v>
      </c>
    </row>
    <row r="6" spans="1:47" x14ac:dyDescent="0.35">
      <c r="A6" s="23" t="s">
        <v>51</v>
      </c>
      <c r="B6" s="13">
        <v>11387</v>
      </c>
      <c r="C6" s="14">
        <v>1588</v>
      </c>
      <c r="D6" s="14">
        <v>244</v>
      </c>
      <c r="E6" s="14">
        <v>150</v>
      </c>
      <c r="F6" s="14">
        <v>9</v>
      </c>
      <c r="G6" s="14">
        <v>40</v>
      </c>
      <c r="H6" s="14">
        <v>0</v>
      </c>
      <c r="I6" s="14">
        <v>0</v>
      </c>
      <c r="J6" s="9">
        <v>45</v>
      </c>
      <c r="K6" s="14">
        <v>0</v>
      </c>
      <c r="L6" s="14">
        <f t="shared" si="1"/>
        <v>244</v>
      </c>
      <c r="M6" s="14">
        <v>223</v>
      </c>
      <c r="N6" s="14">
        <v>21</v>
      </c>
      <c r="O6" s="14">
        <v>0</v>
      </c>
      <c r="P6" s="8">
        <f t="shared" si="2"/>
        <v>244</v>
      </c>
      <c r="Q6" s="14">
        <v>4</v>
      </c>
      <c r="R6" s="14">
        <v>9</v>
      </c>
      <c r="S6" s="14">
        <v>33</v>
      </c>
      <c r="T6" s="14">
        <v>80</v>
      </c>
      <c r="U6" s="14">
        <v>50</v>
      </c>
      <c r="V6" s="14">
        <v>14</v>
      </c>
      <c r="W6" s="14">
        <v>54</v>
      </c>
      <c r="X6" s="8">
        <f t="shared" si="3"/>
        <v>244</v>
      </c>
      <c r="Y6" s="14">
        <v>1650</v>
      </c>
      <c r="Z6" s="14">
        <v>870</v>
      </c>
      <c r="AA6" s="14">
        <v>2245</v>
      </c>
      <c r="AB6" s="14">
        <v>110</v>
      </c>
      <c r="AC6" s="14">
        <v>300</v>
      </c>
      <c r="AD6" s="14">
        <v>13</v>
      </c>
      <c r="AE6" s="14">
        <v>63</v>
      </c>
      <c r="AF6" s="14">
        <v>102</v>
      </c>
      <c r="AG6" s="14">
        <v>2</v>
      </c>
      <c r="AH6" s="14">
        <v>17</v>
      </c>
      <c r="AI6" s="14">
        <v>6</v>
      </c>
      <c r="AJ6" s="14">
        <v>9</v>
      </c>
      <c r="AK6" s="14">
        <v>14</v>
      </c>
      <c r="AL6" s="14">
        <v>19</v>
      </c>
      <c r="AM6" s="14">
        <v>88</v>
      </c>
      <c r="AN6" s="14">
        <v>6</v>
      </c>
      <c r="AO6" s="14">
        <v>1489</v>
      </c>
      <c r="AP6" s="14">
        <v>40</v>
      </c>
      <c r="AQ6" s="14">
        <v>30</v>
      </c>
      <c r="AR6" s="14">
        <v>0</v>
      </c>
      <c r="AS6" s="14">
        <v>0</v>
      </c>
      <c r="AT6" s="14">
        <v>8</v>
      </c>
      <c r="AU6" s="14">
        <v>323</v>
      </c>
    </row>
    <row r="7" spans="1:47" x14ac:dyDescent="0.35">
      <c r="A7" s="23" t="s">
        <v>52</v>
      </c>
      <c r="B7" s="15">
        <v>25460</v>
      </c>
      <c r="C7" s="11">
        <v>441</v>
      </c>
      <c r="D7" s="11">
        <v>347</v>
      </c>
      <c r="E7" s="11">
        <v>121</v>
      </c>
      <c r="F7" s="11">
        <v>217</v>
      </c>
      <c r="G7" s="11">
        <v>6</v>
      </c>
      <c r="H7" s="11">
        <v>1</v>
      </c>
      <c r="I7" s="11">
        <v>0</v>
      </c>
      <c r="J7" s="12">
        <v>0</v>
      </c>
      <c r="K7" s="11">
        <v>2</v>
      </c>
      <c r="L7" s="11">
        <f t="shared" si="1"/>
        <v>347</v>
      </c>
      <c r="M7" s="11">
        <v>309</v>
      </c>
      <c r="N7" s="11">
        <v>38</v>
      </c>
      <c r="O7" s="11">
        <v>0</v>
      </c>
      <c r="P7" s="11">
        <f t="shared" si="2"/>
        <v>347</v>
      </c>
      <c r="Q7" s="11">
        <v>9</v>
      </c>
      <c r="R7" s="11">
        <v>3</v>
      </c>
      <c r="S7" s="11">
        <v>73</v>
      </c>
      <c r="T7" s="11">
        <v>168</v>
      </c>
      <c r="U7" s="11">
        <v>83</v>
      </c>
      <c r="V7" s="11">
        <v>11</v>
      </c>
      <c r="W7" s="11">
        <v>0</v>
      </c>
      <c r="X7" s="11">
        <f t="shared" si="3"/>
        <v>347</v>
      </c>
      <c r="Y7" s="11">
        <v>260</v>
      </c>
      <c r="Z7" s="11">
        <v>250</v>
      </c>
      <c r="AA7" s="11">
        <v>96</v>
      </c>
      <c r="AB7" s="11">
        <v>81</v>
      </c>
      <c r="AC7" s="11">
        <v>45</v>
      </c>
      <c r="AD7" s="11">
        <v>26</v>
      </c>
      <c r="AE7" s="11">
        <v>463</v>
      </c>
      <c r="AF7" s="11">
        <v>0</v>
      </c>
      <c r="AG7" s="11">
        <v>10</v>
      </c>
      <c r="AH7" s="11">
        <v>73</v>
      </c>
      <c r="AI7" s="11">
        <v>0</v>
      </c>
      <c r="AJ7" s="11">
        <v>9</v>
      </c>
      <c r="AK7" s="11">
        <v>2</v>
      </c>
      <c r="AL7" s="11">
        <v>0</v>
      </c>
      <c r="AM7" s="11">
        <v>17</v>
      </c>
      <c r="AN7" s="11">
        <v>9</v>
      </c>
      <c r="AO7" s="11">
        <v>141</v>
      </c>
      <c r="AP7" s="11">
        <v>0</v>
      </c>
      <c r="AQ7" s="11">
        <v>0</v>
      </c>
      <c r="AR7" s="11">
        <v>0</v>
      </c>
      <c r="AS7" s="11">
        <v>0</v>
      </c>
      <c r="AT7" s="11">
        <v>0</v>
      </c>
      <c r="AU7" s="11">
        <v>0</v>
      </c>
    </row>
    <row r="8" spans="1:47" x14ac:dyDescent="0.35">
      <c r="A8" s="23" t="s">
        <v>53</v>
      </c>
      <c r="B8" s="7">
        <v>27418</v>
      </c>
      <c r="C8" s="8">
        <v>51</v>
      </c>
      <c r="D8" s="8">
        <v>122</v>
      </c>
      <c r="E8" s="8">
        <v>103</v>
      </c>
      <c r="F8" s="8">
        <v>6</v>
      </c>
      <c r="G8" s="8">
        <v>8</v>
      </c>
      <c r="H8" s="8">
        <v>0</v>
      </c>
      <c r="I8" s="8">
        <v>0</v>
      </c>
      <c r="J8" s="9">
        <v>5</v>
      </c>
      <c r="K8" s="8">
        <v>0</v>
      </c>
      <c r="L8" s="41">
        <f t="shared" si="1"/>
        <v>122</v>
      </c>
      <c r="M8" s="8">
        <v>103</v>
      </c>
      <c r="N8" s="8">
        <v>19</v>
      </c>
      <c r="O8" s="8">
        <v>0</v>
      </c>
      <c r="P8" s="8">
        <f t="shared" si="2"/>
        <v>122</v>
      </c>
      <c r="Q8" s="8">
        <v>19</v>
      </c>
      <c r="R8" s="8">
        <v>4</v>
      </c>
      <c r="S8" s="8">
        <v>18</v>
      </c>
      <c r="T8" s="8">
        <v>42</v>
      </c>
      <c r="U8" s="8">
        <v>38</v>
      </c>
      <c r="V8" s="8">
        <v>1</v>
      </c>
      <c r="W8" s="8">
        <v>0</v>
      </c>
      <c r="X8" s="8">
        <f t="shared" si="3"/>
        <v>122</v>
      </c>
      <c r="Y8" s="8">
        <v>483</v>
      </c>
      <c r="Z8" s="8">
        <v>357</v>
      </c>
      <c r="AA8" s="8">
        <v>408</v>
      </c>
      <c r="AB8" s="8">
        <v>42</v>
      </c>
      <c r="AC8" s="8">
        <v>859</v>
      </c>
      <c r="AD8" s="8">
        <v>9</v>
      </c>
      <c r="AE8" s="8">
        <v>278</v>
      </c>
      <c r="AF8" s="8">
        <v>10</v>
      </c>
      <c r="AG8" s="8">
        <v>0</v>
      </c>
      <c r="AH8" s="8">
        <v>6</v>
      </c>
      <c r="AI8" s="8">
        <v>0</v>
      </c>
      <c r="AJ8" s="8">
        <v>0</v>
      </c>
      <c r="AK8" s="8">
        <v>9</v>
      </c>
      <c r="AL8" s="8">
        <v>2</v>
      </c>
      <c r="AM8" s="8">
        <v>18</v>
      </c>
      <c r="AN8" s="8">
        <v>3</v>
      </c>
      <c r="AO8" s="8">
        <v>891</v>
      </c>
      <c r="AP8" s="8">
        <v>21</v>
      </c>
      <c r="AQ8" s="8">
        <v>37</v>
      </c>
      <c r="AR8" s="8">
        <v>1</v>
      </c>
      <c r="AS8" s="8">
        <v>0</v>
      </c>
      <c r="AT8" s="8">
        <v>15</v>
      </c>
      <c r="AU8" s="8">
        <v>241</v>
      </c>
    </row>
    <row r="9" spans="1:47" x14ac:dyDescent="0.35">
      <c r="A9" s="23" t="s">
        <v>54</v>
      </c>
      <c r="B9" s="16">
        <v>17953</v>
      </c>
      <c r="C9" s="11">
        <f>621+270</f>
        <v>891</v>
      </c>
      <c r="D9" s="11">
        <f>82+44</f>
        <v>126</v>
      </c>
      <c r="E9" s="11">
        <f>63+31</f>
        <v>94</v>
      </c>
      <c r="F9" s="11">
        <v>0</v>
      </c>
      <c r="G9" s="11">
        <v>8</v>
      </c>
      <c r="H9" s="11">
        <v>0</v>
      </c>
      <c r="I9" s="11">
        <v>0</v>
      </c>
      <c r="J9" s="12">
        <v>22</v>
      </c>
      <c r="K9" s="11">
        <v>2</v>
      </c>
      <c r="L9" s="11">
        <f t="shared" si="1"/>
        <v>126</v>
      </c>
      <c r="M9" s="11">
        <f>63+33</f>
        <v>96</v>
      </c>
      <c r="N9" s="11">
        <v>30</v>
      </c>
      <c r="O9" s="11">
        <v>0</v>
      </c>
      <c r="P9" s="11">
        <f t="shared" si="2"/>
        <v>126</v>
      </c>
      <c r="Q9" s="11">
        <v>35</v>
      </c>
      <c r="R9" s="11">
        <v>13</v>
      </c>
      <c r="S9" s="11">
        <v>9</v>
      </c>
      <c r="T9" s="11">
        <v>34</v>
      </c>
      <c r="U9" s="11">
        <v>21</v>
      </c>
      <c r="V9" s="11">
        <v>6</v>
      </c>
      <c r="W9" s="11">
        <v>8</v>
      </c>
      <c r="X9" s="11">
        <f t="shared" si="3"/>
        <v>126</v>
      </c>
      <c r="Y9" s="11">
        <f>535+348</f>
        <v>883</v>
      </c>
      <c r="Z9" s="11">
        <f>267+192</f>
        <v>459</v>
      </c>
      <c r="AA9" s="11">
        <f>322+156</f>
        <v>478</v>
      </c>
      <c r="AB9" s="11">
        <v>10</v>
      </c>
      <c r="AC9" s="11">
        <f>195+111</f>
        <v>306</v>
      </c>
      <c r="AD9" s="11">
        <v>8</v>
      </c>
      <c r="AE9" s="11">
        <f>170+118</f>
        <v>288</v>
      </c>
      <c r="AF9" s="11">
        <v>20</v>
      </c>
      <c r="AG9" s="11">
        <v>20</v>
      </c>
      <c r="AH9" s="11">
        <v>23</v>
      </c>
      <c r="AI9" s="11">
        <v>19</v>
      </c>
      <c r="AJ9" s="11">
        <v>6</v>
      </c>
      <c r="AK9" s="11">
        <v>90</v>
      </c>
      <c r="AL9" s="11">
        <v>15</v>
      </c>
      <c r="AM9" s="11">
        <v>44</v>
      </c>
      <c r="AN9" s="11">
        <v>13</v>
      </c>
      <c r="AO9" s="11">
        <f>1380+2452</f>
        <v>3832</v>
      </c>
      <c r="AP9" s="11">
        <v>17</v>
      </c>
      <c r="AQ9" s="11">
        <v>34</v>
      </c>
      <c r="AR9" s="11">
        <v>1</v>
      </c>
      <c r="AS9" s="11">
        <v>8</v>
      </c>
      <c r="AT9" s="11">
        <v>44</v>
      </c>
      <c r="AU9" s="11">
        <f>83+145</f>
        <v>228</v>
      </c>
    </row>
    <row r="10" spans="1:47" x14ac:dyDescent="0.35">
      <c r="A10" s="23" t="s">
        <v>55</v>
      </c>
      <c r="B10" s="17">
        <v>47504</v>
      </c>
      <c r="C10" s="8">
        <f>112+119</f>
        <v>231</v>
      </c>
      <c r="D10" s="8">
        <f>85+24</f>
        <v>109</v>
      </c>
      <c r="E10" s="8">
        <v>63</v>
      </c>
      <c r="F10" s="8">
        <v>31</v>
      </c>
      <c r="G10" s="8">
        <v>1</v>
      </c>
      <c r="H10" s="8">
        <v>0</v>
      </c>
      <c r="I10" s="8">
        <v>0</v>
      </c>
      <c r="J10" s="9">
        <v>13</v>
      </c>
      <c r="K10" s="8">
        <v>1</v>
      </c>
      <c r="L10" s="41">
        <f t="shared" ref="L10:L73" si="4">SUM(E10:K10)</f>
        <v>109</v>
      </c>
      <c r="M10" s="8">
        <v>98</v>
      </c>
      <c r="N10" s="8">
        <v>11</v>
      </c>
      <c r="O10" s="8">
        <v>0</v>
      </c>
      <c r="P10" s="8">
        <f t="shared" si="2"/>
        <v>109</v>
      </c>
      <c r="Q10" s="8">
        <v>14</v>
      </c>
      <c r="R10" s="8">
        <v>0</v>
      </c>
      <c r="S10" s="8">
        <v>6</v>
      </c>
      <c r="T10" s="8">
        <v>54</v>
      </c>
      <c r="U10" s="8">
        <v>23</v>
      </c>
      <c r="V10" s="8">
        <v>1</v>
      </c>
      <c r="W10" s="8">
        <v>11</v>
      </c>
      <c r="X10" s="8">
        <f t="shared" si="3"/>
        <v>109</v>
      </c>
      <c r="Y10" s="8">
        <f>559+184</f>
        <v>743</v>
      </c>
      <c r="Z10" s="8">
        <f>135+24</f>
        <v>159</v>
      </c>
      <c r="AA10" s="8">
        <f>356+135</f>
        <v>491</v>
      </c>
      <c r="AB10" s="8">
        <v>251</v>
      </c>
      <c r="AC10" s="8">
        <v>127</v>
      </c>
      <c r="AD10" s="8">
        <v>20</v>
      </c>
      <c r="AE10" s="8">
        <v>48</v>
      </c>
      <c r="AF10" s="8">
        <v>12</v>
      </c>
      <c r="AG10" s="8">
        <v>0</v>
      </c>
      <c r="AH10" s="8">
        <v>39</v>
      </c>
      <c r="AI10" s="8">
        <v>24</v>
      </c>
      <c r="AJ10" s="8">
        <v>19</v>
      </c>
      <c r="AK10" s="8">
        <v>33</v>
      </c>
      <c r="AL10" s="8">
        <v>2</v>
      </c>
      <c r="AM10" s="8">
        <v>18</v>
      </c>
      <c r="AN10" s="8">
        <v>31</v>
      </c>
      <c r="AO10" s="8">
        <f>111+2563</f>
        <v>2674</v>
      </c>
      <c r="AP10" s="8">
        <v>15</v>
      </c>
      <c r="AQ10" s="8">
        <v>21</v>
      </c>
      <c r="AR10" s="8">
        <v>0</v>
      </c>
      <c r="AS10" s="8">
        <v>2</v>
      </c>
      <c r="AT10" s="8">
        <v>25</v>
      </c>
      <c r="AU10" s="8">
        <v>0</v>
      </c>
    </row>
    <row r="11" spans="1:47" x14ac:dyDescent="0.35">
      <c r="A11" s="23" t="s">
        <v>56</v>
      </c>
      <c r="B11" s="16">
        <v>19802</v>
      </c>
      <c r="C11" s="11">
        <f>99+86</f>
        <v>185</v>
      </c>
      <c r="D11" s="11">
        <f>157+96</f>
        <v>253</v>
      </c>
      <c r="E11" s="11">
        <f>54+23</f>
        <v>77</v>
      </c>
      <c r="F11" s="11">
        <f>103+73</f>
        <v>176</v>
      </c>
      <c r="G11" s="11">
        <v>0</v>
      </c>
      <c r="H11" s="11">
        <v>0</v>
      </c>
      <c r="I11" s="11">
        <v>0</v>
      </c>
      <c r="J11" s="12">
        <v>0</v>
      </c>
      <c r="K11" s="11">
        <v>0</v>
      </c>
      <c r="L11" s="11">
        <f t="shared" si="4"/>
        <v>253</v>
      </c>
      <c r="M11" s="11">
        <v>252</v>
      </c>
      <c r="N11" s="11">
        <v>1</v>
      </c>
      <c r="O11" s="11">
        <v>0</v>
      </c>
      <c r="P11" s="11">
        <f t="shared" si="2"/>
        <v>253</v>
      </c>
      <c r="Q11" s="11">
        <v>0</v>
      </c>
      <c r="R11" s="11">
        <v>0</v>
      </c>
      <c r="S11" s="11">
        <v>28</v>
      </c>
      <c r="T11" s="11">
        <f>81+79</f>
        <v>160</v>
      </c>
      <c r="U11" s="11">
        <v>65</v>
      </c>
      <c r="V11" s="11">
        <v>0</v>
      </c>
      <c r="W11" s="11">
        <v>0</v>
      </c>
      <c r="X11" s="11">
        <f t="shared" si="3"/>
        <v>253</v>
      </c>
      <c r="Y11" s="11">
        <f>141+102</f>
        <v>243</v>
      </c>
      <c r="Z11" s="11">
        <f>121+87</f>
        <v>208</v>
      </c>
      <c r="AA11" s="11">
        <v>41</v>
      </c>
      <c r="AB11" s="11">
        <v>31</v>
      </c>
      <c r="AC11" s="11">
        <v>33</v>
      </c>
      <c r="AD11" s="11">
        <v>1</v>
      </c>
      <c r="AE11" s="11">
        <f>97+87</f>
        <v>184</v>
      </c>
      <c r="AF11" s="11">
        <v>14</v>
      </c>
      <c r="AG11" s="11">
        <v>13</v>
      </c>
      <c r="AH11" s="11">
        <v>4</v>
      </c>
      <c r="AI11" s="11">
        <v>1</v>
      </c>
      <c r="AJ11" s="11">
        <v>7</v>
      </c>
      <c r="AK11" s="11">
        <v>6</v>
      </c>
      <c r="AL11" s="11">
        <v>0</v>
      </c>
      <c r="AM11" s="11">
        <v>13</v>
      </c>
      <c r="AN11" s="11">
        <v>4</v>
      </c>
      <c r="AO11" s="11">
        <f>1175+1175</f>
        <v>2350</v>
      </c>
      <c r="AP11" s="11">
        <v>0</v>
      </c>
      <c r="AQ11" s="11">
        <v>5</v>
      </c>
      <c r="AR11" s="11">
        <v>0</v>
      </c>
      <c r="AS11" s="11">
        <v>1</v>
      </c>
      <c r="AT11" s="11">
        <v>0</v>
      </c>
      <c r="AU11" s="11">
        <v>0</v>
      </c>
    </row>
    <row r="12" spans="1:47" x14ac:dyDescent="0.35">
      <c r="A12" s="23" t="s">
        <v>57</v>
      </c>
      <c r="B12" s="17">
        <v>34507</v>
      </c>
      <c r="C12" s="8">
        <f>48+86</f>
        <v>134</v>
      </c>
      <c r="D12" s="8">
        <f>162+201</f>
        <v>363</v>
      </c>
      <c r="E12" s="8">
        <f>76+91</f>
        <v>167</v>
      </c>
      <c r="F12" s="8">
        <v>95</v>
      </c>
      <c r="G12" s="8">
        <v>44</v>
      </c>
      <c r="H12" s="8">
        <v>12</v>
      </c>
      <c r="I12" s="8">
        <v>1</v>
      </c>
      <c r="J12" s="9">
        <v>20</v>
      </c>
      <c r="K12" s="8">
        <v>24</v>
      </c>
      <c r="L12" s="41">
        <f t="shared" si="4"/>
        <v>363</v>
      </c>
      <c r="M12" s="8">
        <f>141+163</f>
        <v>304</v>
      </c>
      <c r="N12" s="8">
        <f>21+38</f>
        <v>59</v>
      </c>
      <c r="O12" s="8">
        <v>0</v>
      </c>
      <c r="P12" s="8">
        <f t="shared" si="2"/>
        <v>363</v>
      </c>
      <c r="Q12" s="8">
        <v>18</v>
      </c>
      <c r="R12" s="8">
        <v>24</v>
      </c>
      <c r="S12" s="8">
        <f>36+44</f>
        <v>80</v>
      </c>
      <c r="T12" s="8">
        <f>81+89</f>
        <v>170</v>
      </c>
      <c r="U12" s="8">
        <v>37</v>
      </c>
      <c r="V12" s="8">
        <v>9</v>
      </c>
      <c r="W12" s="8">
        <f>18+7</f>
        <v>25</v>
      </c>
      <c r="X12" s="8">
        <f t="shared" si="3"/>
        <v>363</v>
      </c>
      <c r="Y12" s="8">
        <f>247+252</f>
        <v>499</v>
      </c>
      <c r="Z12" s="8">
        <f>319+328</f>
        <v>647</v>
      </c>
      <c r="AA12" s="8">
        <f>115+119</f>
        <v>234</v>
      </c>
      <c r="AB12" s="8">
        <f>17+25</f>
        <v>42</v>
      </c>
      <c r="AC12" s="8">
        <f>28+38</f>
        <v>66</v>
      </c>
      <c r="AD12" s="8">
        <v>18</v>
      </c>
      <c r="AE12" s="8">
        <f>139+148</f>
        <v>287</v>
      </c>
      <c r="AF12" s="8">
        <v>18</v>
      </c>
      <c r="AG12" s="8">
        <v>10</v>
      </c>
      <c r="AH12" s="8">
        <v>10</v>
      </c>
      <c r="AI12" s="8">
        <v>18</v>
      </c>
      <c r="AJ12" s="8">
        <v>6</v>
      </c>
      <c r="AK12" s="8">
        <v>22</v>
      </c>
      <c r="AL12" s="8">
        <v>14</v>
      </c>
      <c r="AM12" s="8">
        <v>31</v>
      </c>
      <c r="AN12" s="8">
        <v>6</v>
      </c>
      <c r="AO12" s="8">
        <f>1866+1940</f>
        <v>3806</v>
      </c>
      <c r="AP12" s="8">
        <v>23</v>
      </c>
      <c r="AQ12" s="8">
        <v>17</v>
      </c>
      <c r="AR12" s="8">
        <v>0</v>
      </c>
      <c r="AS12" s="8">
        <v>4</v>
      </c>
      <c r="AT12" s="8">
        <v>8</v>
      </c>
      <c r="AU12" s="8">
        <f>26+32</f>
        <v>58</v>
      </c>
    </row>
    <row r="13" spans="1:47" x14ac:dyDescent="0.35">
      <c r="A13" s="23" t="s">
        <v>58</v>
      </c>
      <c r="B13" s="16">
        <v>131887</v>
      </c>
      <c r="C13" s="11">
        <f>111+136</f>
        <v>247</v>
      </c>
      <c r="D13" s="11">
        <f>211+243</f>
        <v>454</v>
      </c>
      <c r="E13" s="11">
        <f>154+191</f>
        <v>345</v>
      </c>
      <c r="F13" s="11">
        <v>48</v>
      </c>
      <c r="G13" s="11">
        <v>20</v>
      </c>
      <c r="H13" s="11">
        <v>1</v>
      </c>
      <c r="I13" s="11">
        <v>0</v>
      </c>
      <c r="J13" s="12">
        <f>14+9</f>
        <v>23</v>
      </c>
      <c r="K13" s="11">
        <v>17</v>
      </c>
      <c r="L13" s="11">
        <f t="shared" si="4"/>
        <v>454</v>
      </c>
      <c r="M13" s="11">
        <f>174+206</f>
        <v>380</v>
      </c>
      <c r="N13" s="11">
        <f>37+37</f>
        <v>74</v>
      </c>
      <c r="O13" s="11">
        <v>0</v>
      </c>
      <c r="P13" s="11">
        <f t="shared" si="2"/>
        <v>454</v>
      </c>
      <c r="Q13" s="11">
        <v>4</v>
      </c>
      <c r="R13" s="11">
        <v>4</v>
      </c>
      <c r="S13" s="11">
        <f>27+31</f>
        <v>58</v>
      </c>
      <c r="T13" s="11">
        <f>72+86</f>
        <v>158</v>
      </c>
      <c r="U13" s="11">
        <f>51+74</f>
        <v>125</v>
      </c>
      <c r="V13" s="11">
        <v>38</v>
      </c>
      <c r="W13" s="11">
        <f>36+31</f>
        <v>67</v>
      </c>
      <c r="X13" s="11">
        <f t="shared" si="3"/>
        <v>454</v>
      </c>
      <c r="Y13" s="11">
        <f>526+1027</f>
        <v>1553</v>
      </c>
      <c r="Z13" s="11">
        <f>1361+2001</f>
        <v>3362</v>
      </c>
      <c r="AA13" s="11">
        <f>1338+1862</f>
        <v>3200</v>
      </c>
      <c r="AB13" s="11">
        <f>122+9</f>
        <v>131</v>
      </c>
      <c r="AC13" s="11">
        <f>103+176</f>
        <v>279</v>
      </c>
      <c r="AD13" s="11">
        <v>3</v>
      </c>
      <c r="AE13" s="11">
        <f>575+588</f>
        <v>1163</v>
      </c>
      <c r="AF13" s="11">
        <v>27</v>
      </c>
      <c r="AG13" s="11">
        <v>17</v>
      </c>
      <c r="AH13" s="11">
        <f>69+44</f>
        <v>113</v>
      </c>
      <c r="AI13" s="11">
        <f>278+44</f>
        <v>322</v>
      </c>
      <c r="AJ13" s="11">
        <f>128+112</f>
        <v>240</v>
      </c>
      <c r="AK13" s="11">
        <f>134+143</f>
        <v>277</v>
      </c>
      <c r="AL13" s="11">
        <f>49+58</f>
        <v>107</v>
      </c>
      <c r="AM13" s="11">
        <f>73+53</f>
        <v>126</v>
      </c>
      <c r="AN13" s="11">
        <v>9</v>
      </c>
      <c r="AO13" s="11">
        <f>2788+3411</f>
        <v>6199</v>
      </c>
      <c r="AP13" s="11">
        <v>29</v>
      </c>
      <c r="AQ13" s="11">
        <v>37</v>
      </c>
      <c r="AR13" s="11">
        <v>1</v>
      </c>
      <c r="AS13" s="11">
        <v>2</v>
      </c>
      <c r="AT13" s="11">
        <v>19</v>
      </c>
      <c r="AU13" s="11">
        <v>40</v>
      </c>
    </row>
    <row r="14" spans="1:47" x14ac:dyDescent="0.35">
      <c r="A14" s="23" t="s">
        <v>59</v>
      </c>
      <c r="B14" s="17">
        <v>259317</v>
      </c>
      <c r="C14" s="8">
        <f>1813+1821</f>
        <v>3634</v>
      </c>
      <c r="D14" s="8">
        <f>1237+1236</f>
        <v>2473</v>
      </c>
      <c r="E14" s="8">
        <f>527+568</f>
        <v>1095</v>
      </c>
      <c r="F14" s="8">
        <f>120+141</f>
        <v>261</v>
      </c>
      <c r="G14" s="8">
        <f>89+97</f>
        <v>186</v>
      </c>
      <c r="H14" s="8">
        <v>18</v>
      </c>
      <c r="I14" s="8">
        <v>9</v>
      </c>
      <c r="J14" s="9">
        <f>452+349</f>
        <v>801</v>
      </c>
      <c r="K14" s="8">
        <f>34+69</f>
        <v>103</v>
      </c>
      <c r="L14" s="41">
        <f t="shared" si="4"/>
        <v>2473</v>
      </c>
      <c r="M14" s="8">
        <f>1131+1018</f>
        <v>2149</v>
      </c>
      <c r="N14" s="8">
        <f>106+108</f>
        <v>214</v>
      </c>
      <c r="O14" s="8">
        <v>110</v>
      </c>
      <c r="P14" s="8">
        <f t="shared" si="2"/>
        <v>2473</v>
      </c>
      <c r="Q14" s="8">
        <f>183+155</f>
        <v>338</v>
      </c>
      <c r="R14" s="8">
        <f>52+39</f>
        <v>91</v>
      </c>
      <c r="S14" s="8">
        <f>164+177</f>
        <v>341</v>
      </c>
      <c r="T14" s="8">
        <f>468+473</f>
        <v>941</v>
      </c>
      <c r="U14" s="8">
        <f>250+239</f>
        <v>489</v>
      </c>
      <c r="V14" s="8">
        <v>66</v>
      </c>
      <c r="W14" s="8">
        <f>90+117</f>
        <v>207</v>
      </c>
      <c r="X14" s="8">
        <f t="shared" si="3"/>
        <v>2473</v>
      </c>
      <c r="Y14" s="8">
        <f>5439+5645</f>
        <v>11084</v>
      </c>
      <c r="Z14" s="8">
        <f>888+843</f>
        <v>1731</v>
      </c>
      <c r="AA14" s="8">
        <f>1286+1314</f>
        <v>2600</v>
      </c>
      <c r="AB14" s="8">
        <f>164+176</f>
        <v>340</v>
      </c>
      <c r="AC14" s="8">
        <f>1593+1823</f>
        <v>3416</v>
      </c>
      <c r="AD14" s="8">
        <v>53</v>
      </c>
      <c r="AE14" s="8">
        <f>924+840</f>
        <v>1764</v>
      </c>
      <c r="AF14" s="8">
        <f>70+68</f>
        <v>138</v>
      </c>
      <c r="AG14" s="8">
        <f>39+64</f>
        <v>103</v>
      </c>
      <c r="AH14" s="8">
        <v>97</v>
      </c>
      <c r="AI14" s="8">
        <f>25+62</f>
        <v>87</v>
      </c>
      <c r="AJ14" s="8">
        <f>85+64</f>
        <v>149</v>
      </c>
      <c r="AK14" s="8">
        <f>95+168</f>
        <v>263</v>
      </c>
      <c r="AL14" s="8">
        <v>0</v>
      </c>
      <c r="AM14" s="8">
        <f>198+35</f>
        <v>233</v>
      </c>
      <c r="AN14" s="8">
        <f>26+29</f>
        <v>55</v>
      </c>
      <c r="AO14" s="8">
        <f>1374+3498</f>
        <v>4872</v>
      </c>
      <c r="AP14" s="8">
        <f>21+33</f>
        <v>54</v>
      </c>
      <c r="AQ14" s="8">
        <f>82+82</f>
        <v>164</v>
      </c>
      <c r="AR14" s="8">
        <v>7</v>
      </c>
      <c r="AS14" s="8">
        <f>52+56</f>
        <v>108</v>
      </c>
      <c r="AT14" s="8">
        <f>191+224</f>
        <v>415</v>
      </c>
      <c r="AU14" s="8">
        <f>52+83</f>
        <v>135</v>
      </c>
    </row>
    <row r="15" spans="1:47" x14ac:dyDescent="0.35">
      <c r="A15" s="23" t="s">
        <v>60</v>
      </c>
      <c r="B15" s="16">
        <v>90776</v>
      </c>
      <c r="C15" s="11">
        <f>181+327</f>
        <v>508</v>
      </c>
      <c r="D15" s="11">
        <f>391+366</f>
        <v>757</v>
      </c>
      <c r="E15" s="11">
        <f>310+305</f>
        <v>615</v>
      </c>
      <c r="F15" s="11">
        <f>23+23</f>
        <v>46</v>
      </c>
      <c r="G15" s="11">
        <f>17+21</f>
        <v>38</v>
      </c>
      <c r="H15" s="11">
        <v>0</v>
      </c>
      <c r="I15" s="11">
        <v>31</v>
      </c>
      <c r="J15" s="12">
        <v>0</v>
      </c>
      <c r="K15" s="11">
        <v>27</v>
      </c>
      <c r="L15" s="11">
        <f t="shared" si="4"/>
        <v>757</v>
      </c>
      <c r="M15" s="11">
        <f>338+315</f>
        <v>653</v>
      </c>
      <c r="N15" s="11">
        <f>53+51</f>
        <v>104</v>
      </c>
      <c r="O15" s="11">
        <v>0</v>
      </c>
      <c r="P15" s="11">
        <f t="shared" si="2"/>
        <v>757</v>
      </c>
      <c r="Q15" s="11">
        <f>48+42</f>
        <v>90</v>
      </c>
      <c r="R15" s="11">
        <v>25</v>
      </c>
      <c r="S15" s="11">
        <f>60+53</f>
        <v>113</v>
      </c>
      <c r="T15" s="11">
        <f>154+121</f>
        <v>275</v>
      </c>
      <c r="U15" s="11">
        <f>88+95</f>
        <v>183</v>
      </c>
      <c r="V15" s="11">
        <f>22+19</f>
        <v>41</v>
      </c>
      <c r="W15" s="11">
        <f>7+23</f>
        <v>30</v>
      </c>
      <c r="X15" s="11">
        <f t="shared" si="3"/>
        <v>757</v>
      </c>
      <c r="Y15" s="11">
        <f>298+256</f>
        <v>554</v>
      </c>
      <c r="Z15" s="11">
        <f>274+238</f>
        <v>512</v>
      </c>
      <c r="AA15" s="11">
        <f>169+147</f>
        <v>316</v>
      </c>
      <c r="AB15" s="11">
        <f>101+77</f>
        <v>178</v>
      </c>
      <c r="AC15" s="11">
        <v>144</v>
      </c>
      <c r="AD15" s="11">
        <v>0</v>
      </c>
      <c r="AE15" s="11">
        <v>173</v>
      </c>
      <c r="AF15" s="11">
        <v>38</v>
      </c>
      <c r="AG15" s="11">
        <v>30</v>
      </c>
      <c r="AH15" s="11">
        <v>25</v>
      </c>
      <c r="AI15" s="11">
        <v>24</v>
      </c>
      <c r="AJ15" s="11">
        <f>19+18</f>
        <v>37</v>
      </c>
      <c r="AK15" s="11">
        <f>107+31</f>
        <v>138</v>
      </c>
      <c r="AL15" s="11">
        <v>0</v>
      </c>
      <c r="AM15" s="11">
        <v>10</v>
      </c>
      <c r="AN15" s="11">
        <v>1</v>
      </c>
      <c r="AO15" s="11">
        <f>413+409</f>
        <v>822</v>
      </c>
      <c r="AP15" s="11">
        <f>29+24</f>
        <v>53</v>
      </c>
      <c r="AQ15" s="11">
        <f>29+39</f>
        <v>68</v>
      </c>
      <c r="AR15" s="11">
        <v>4</v>
      </c>
      <c r="AS15" s="11">
        <v>13</v>
      </c>
      <c r="AT15" s="11">
        <v>5</v>
      </c>
      <c r="AU15" s="11">
        <v>50</v>
      </c>
    </row>
    <row r="16" spans="1:47" x14ac:dyDescent="0.35">
      <c r="A16" s="23" t="s">
        <v>61</v>
      </c>
      <c r="B16" s="17">
        <v>205204</v>
      </c>
      <c r="C16" s="8">
        <f>1019+672</f>
        <v>1691</v>
      </c>
      <c r="D16" s="8">
        <f>482+463</f>
        <v>945</v>
      </c>
      <c r="E16" s="8">
        <f>207+222</f>
        <v>429</v>
      </c>
      <c r="F16" s="8">
        <f>255+216</f>
        <v>471</v>
      </c>
      <c r="G16" s="8">
        <v>31</v>
      </c>
      <c r="H16" s="8">
        <v>0</v>
      </c>
      <c r="I16" s="8">
        <v>9</v>
      </c>
      <c r="J16" s="9">
        <v>5</v>
      </c>
      <c r="K16" s="8">
        <v>0</v>
      </c>
      <c r="L16" s="41">
        <f t="shared" si="4"/>
        <v>945</v>
      </c>
      <c r="M16" s="8">
        <f>443+436</f>
        <v>879</v>
      </c>
      <c r="N16" s="8">
        <f>39+27</f>
        <v>66</v>
      </c>
      <c r="O16" s="8">
        <v>0</v>
      </c>
      <c r="P16" s="8">
        <f t="shared" si="2"/>
        <v>945</v>
      </c>
      <c r="Q16" s="8">
        <f>25+31</f>
        <v>56</v>
      </c>
      <c r="R16" s="8">
        <v>8</v>
      </c>
      <c r="S16" s="8">
        <f>89+40</f>
        <v>129</v>
      </c>
      <c r="T16" s="8">
        <f>231+232</f>
        <v>463</v>
      </c>
      <c r="U16" s="8">
        <f>119+148</f>
        <v>267</v>
      </c>
      <c r="V16" s="8">
        <v>15</v>
      </c>
      <c r="W16" s="8">
        <v>7</v>
      </c>
      <c r="X16" s="8">
        <f t="shared" si="3"/>
        <v>945</v>
      </c>
      <c r="Y16" s="8">
        <f>438+625</f>
        <v>1063</v>
      </c>
      <c r="Z16" s="8">
        <f>22+15</f>
        <v>37</v>
      </c>
      <c r="AA16" s="8">
        <f>580+315</f>
        <v>895</v>
      </c>
      <c r="AB16" s="8">
        <f>395+482</f>
        <v>877</v>
      </c>
      <c r="AC16" s="8">
        <f>526+595</f>
        <v>1121</v>
      </c>
      <c r="AD16" s="8">
        <v>0</v>
      </c>
      <c r="AE16" s="8" t="s">
        <v>184</v>
      </c>
      <c r="AF16" s="8">
        <f>19+15</f>
        <v>34</v>
      </c>
      <c r="AG16" s="8">
        <v>12</v>
      </c>
      <c r="AH16" s="8">
        <f>31+41</f>
        <v>72</v>
      </c>
      <c r="AI16" s="8">
        <v>25</v>
      </c>
      <c r="AJ16" s="8">
        <v>11</v>
      </c>
      <c r="AK16" s="8">
        <f>26+24</f>
        <v>50</v>
      </c>
      <c r="AL16" s="8">
        <v>0</v>
      </c>
      <c r="AM16" s="8">
        <f>22+28</f>
        <v>50</v>
      </c>
      <c r="AN16" s="8">
        <v>1</v>
      </c>
      <c r="AO16" s="8">
        <v>5000</v>
      </c>
      <c r="AP16" s="8">
        <f>28+36</f>
        <v>64</v>
      </c>
      <c r="AQ16" s="8">
        <f>15+21</f>
        <v>36</v>
      </c>
      <c r="AR16" s="8">
        <v>4</v>
      </c>
      <c r="AS16" s="8">
        <v>0</v>
      </c>
      <c r="AT16" s="8">
        <v>0</v>
      </c>
      <c r="AU16" s="8">
        <f>58+76</f>
        <v>134</v>
      </c>
    </row>
    <row r="17" spans="1:47" x14ac:dyDescent="0.35">
      <c r="A17" s="23" t="s">
        <v>62</v>
      </c>
      <c r="B17" s="18">
        <v>83230</v>
      </c>
      <c r="C17" s="11">
        <f>271+427</f>
        <v>698</v>
      </c>
      <c r="D17" s="11">
        <f>477+582</f>
        <v>1059</v>
      </c>
      <c r="E17" s="11">
        <f>427+505</f>
        <v>932</v>
      </c>
      <c r="F17" s="11">
        <f>19+57</f>
        <v>76</v>
      </c>
      <c r="G17" s="11">
        <v>24</v>
      </c>
      <c r="H17" s="11">
        <v>0</v>
      </c>
      <c r="I17" s="11">
        <v>2</v>
      </c>
      <c r="J17" s="12">
        <v>0</v>
      </c>
      <c r="K17" s="11">
        <v>25</v>
      </c>
      <c r="L17" s="11">
        <f t="shared" si="4"/>
        <v>1059</v>
      </c>
      <c r="M17" s="11">
        <f>309+442</f>
        <v>751</v>
      </c>
      <c r="N17" s="11">
        <f>168+140</f>
        <v>308</v>
      </c>
      <c r="O17" s="11">
        <v>0</v>
      </c>
      <c r="P17" s="11">
        <f t="shared" si="2"/>
        <v>1059</v>
      </c>
      <c r="Q17" s="11">
        <f>67+187</f>
        <v>254</v>
      </c>
      <c r="R17" s="11">
        <v>48</v>
      </c>
      <c r="S17" s="11">
        <f>203+297</f>
        <v>500</v>
      </c>
      <c r="T17" s="11">
        <f>127+56</f>
        <v>183</v>
      </c>
      <c r="U17" s="11">
        <f>29+26</f>
        <v>55</v>
      </c>
      <c r="V17" s="11">
        <v>19</v>
      </c>
      <c r="W17" s="11">
        <v>0</v>
      </c>
      <c r="X17" s="11">
        <f t="shared" si="3"/>
        <v>1059</v>
      </c>
      <c r="Y17" s="11">
        <f>477+582</f>
        <v>1059</v>
      </c>
      <c r="Z17" s="11">
        <v>1059</v>
      </c>
      <c r="AA17" s="11">
        <f>323+276</f>
        <v>599</v>
      </c>
      <c r="AB17" s="11">
        <f>129+128</f>
        <v>257</v>
      </c>
      <c r="AC17" s="11">
        <f>173+31</f>
        <v>204</v>
      </c>
      <c r="AD17" s="11">
        <v>9</v>
      </c>
      <c r="AE17" s="11">
        <f>158+213</f>
        <v>371</v>
      </c>
      <c r="AF17" s="11">
        <v>182</v>
      </c>
      <c r="AG17" s="11">
        <v>0</v>
      </c>
      <c r="AH17" s="11">
        <v>79</v>
      </c>
      <c r="AI17" s="11">
        <v>37</v>
      </c>
      <c r="AJ17" s="11">
        <v>14</v>
      </c>
      <c r="AK17" s="11">
        <f>137+35</f>
        <v>172</v>
      </c>
      <c r="AL17" s="11">
        <v>0</v>
      </c>
      <c r="AM17" s="11">
        <v>68</v>
      </c>
      <c r="AN17" s="11">
        <v>3</v>
      </c>
      <c r="AO17" s="11">
        <v>180</v>
      </c>
      <c r="AP17" s="11">
        <f>122+77</f>
        <v>199</v>
      </c>
      <c r="AQ17" s="11">
        <f>139+159</f>
        <v>298</v>
      </c>
      <c r="AR17" s="11">
        <v>21</v>
      </c>
      <c r="AS17" s="11">
        <v>3</v>
      </c>
      <c r="AT17" s="11">
        <v>0</v>
      </c>
      <c r="AU17" s="11">
        <v>0</v>
      </c>
    </row>
    <row r="18" spans="1:47" x14ac:dyDescent="0.35">
      <c r="A18" s="23" t="s">
        <v>63</v>
      </c>
      <c r="B18" s="17">
        <v>10358</v>
      </c>
      <c r="C18" s="8">
        <f>17+16</f>
        <v>33</v>
      </c>
      <c r="D18" s="8">
        <v>24</v>
      </c>
      <c r="E18" s="8">
        <v>21</v>
      </c>
      <c r="F18" s="8">
        <v>3</v>
      </c>
      <c r="G18" s="8">
        <v>0</v>
      </c>
      <c r="H18" s="8">
        <v>0</v>
      </c>
      <c r="I18" s="8">
        <v>0</v>
      </c>
      <c r="J18" s="9">
        <v>0</v>
      </c>
      <c r="K18" s="8">
        <v>0</v>
      </c>
      <c r="L18" s="41">
        <f t="shared" si="4"/>
        <v>24</v>
      </c>
      <c r="M18" s="8">
        <v>24</v>
      </c>
      <c r="N18" s="8">
        <v>0</v>
      </c>
      <c r="O18" s="8">
        <v>0</v>
      </c>
      <c r="P18" s="8">
        <f t="shared" si="2"/>
        <v>24</v>
      </c>
      <c r="Q18" s="8">
        <v>0</v>
      </c>
      <c r="R18" s="8">
        <v>0</v>
      </c>
      <c r="S18" s="8">
        <v>3</v>
      </c>
      <c r="T18" s="8">
        <v>16</v>
      </c>
      <c r="U18" s="8">
        <v>5</v>
      </c>
      <c r="V18" s="8">
        <v>0</v>
      </c>
      <c r="W18" s="8">
        <v>0</v>
      </c>
      <c r="X18" s="8">
        <f t="shared" si="3"/>
        <v>24</v>
      </c>
      <c r="Y18" s="8">
        <f>44+136</f>
        <v>180</v>
      </c>
      <c r="Z18" s="8">
        <v>36</v>
      </c>
      <c r="AA18" s="8">
        <f>26+24</f>
        <v>50</v>
      </c>
      <c r="AB18" s="8">
        <v>2</v>
      </c>
      <c r="AC18" s="8">
        <f>61+89</f>
        <v>150</v>
      </c>
      <c r="AD18" s="8">
        <v>0</v>
      </c>
      <c r="AE18" s="8">
        <v>27</v>
      </c>
      <c r="AF18" s="8">
        <v>0</v>
      </c>
      <c r="AG18" s="8">
        <v>0</v>
      </c>
      <c r="AH18" s="8">
        <v>0</v>
      </c>
      <c r="AI18" s="8">
        <v>0</v>
      </c>
      <c r="AJ18" s="8">
        <v>0</v>
      </c>
      <c r="AK18" s="8">
        <v>27</v>
      </c>
      <c r="AL18" s="8">
        <v>29</v>
      </c>
      <c r="AM18" s="8">
        <v>25</v>
      </c>
      <c r="AN18" s="8">
        <v>3</v>
      </c>
      <c r="AO18" s="8">
        <f>63+48</f>
        <v>111</v>
      </c>
      <c r="AP18" s="8">
        <v>0</v>
      </c>
      <c r="AQ18" s="8">
        <v>0</v>
      </c>
      <c r="AR18" s="8">
        <v>0</v>
      </c>
      <c r="AS18" s="8">
        <v>1</v>
      </c>
      <c r="AT18" s="8">
        <v>0</v>
      </c>
      <c r="AU18" s="8">
        <v>0</v>
      </c>
    </row>
    <row r="19" spans="1:47" x14ac:dyDescent="0.35">
      <c r="A19" s="23" t="s">
        <v>64</v>
      </c>
      <c r="B19" s="18">
        <v>70216</v>
      </c>
      <c r="C19" s="11">
        <f>287+282</f>
        <v>569</v>
      </c>
      <c r="D19" s="11">
        <f>155+137</f>
        <v>292</v>
      </c>
      <c r="E19" s="11">
        <f>106+87</f>
        <v>193</v>
      </c>
      <c r="F19" s="11">
        <f>31+28</f>
        <v>59</v>
      </c>
      <c r="G19" s="11">
        <f>16+6</f>
        <v>22</v>
      </c>
      <c r="H19" s="11">
        <v>4</v>
      </c>
      <c r="I19" s="11">
        <v>1</v>
      </c>
      <c r="J19" s="12">
        <v>0</v>
      </c>
      <c r="K19" s="11">
        <v>13</v>
      </c>
      <c r="L19" s="11">
        <f t="shared" si="4"/>
        <v>292</v>
      </c>
      <c r="M19" s="11">
        <f>147+122</f>
        <v>269</v>
      </c>
      <c r="N19" s="11">
        <f>8+15</f>
        <v>23</v>
      </c>
      <c r="O19" s="11">
        <v>0</v>
      </c>
      <c r="P19" s="11">
        <f t="shared" si="2"/>
        <v>292</v>
      </c>
      <c r="Q19" s="11">
        <f>17+28</f>
        <v>45</v>
      </c>
      <c r="R19" s="11">
        <v>7</v>
      </c>
      <c r="S19" s="11">
        <v>16</v>
      </c>
      <c r="T19" s="11">
        <v>52</v>
      </c>
      <c r="U19" s="11">
        <f>91+73</f>
        <v>164</v>
      </c>
      <c r="V19" s="11">
        <v>8</v>
      </c>
      <c r="W19" s="11">
        <v>0</v>
      </c>
      <c r="X19" s="11">
        <f t="shared" si="3"/>
        <v>292</v>
      </c>
      <c r="Y19" s="11">
        <f>164+277</f>
        <v>441</v>
      </c>
      <c r="Z19" s="11">
        <f>51+54</f>
        <v>105</v>
      </c>
      <c r="AA19" s="11">
        <f>183+39</f>
        <v>222</v>
      </c>
      <c r="AB19" s="11">
        <f>28+44</f>
        <v>72</v>
      </c>
      <c r="AC19" s="11">
        <f>288+39</f>
        <v>327</v>
      </c>
      <c r="AD19" s="11">
        <v>26</v>
      </c>
      <c r="AE19" s="11">
        <f>29+26</f>
        <v>55</v>
      </c>
      <c r="AF19" s="11">
        <v>39</v>
      </c>
      <c r="AG19" s="11">
        <v>0</v>
      </c>
      <c r="AH19" s="11">
        <v>29</v>
      </c>
      <c r="AI19" s="11">
        <v>26</v>
      </c>
      <c r="AJ19" s="11">
        <v>6</v>
      </c>
      <c r="AK19" s="11">
        <f>24+28</f>
        <v>52</v>
      </c>
      <c r="AL19" s="11">
        <v>9</v>
      </c>
      <c r="AM19" s="11">
        <v>22</v>
      </c>
      <c r="AN19" s="11">
        <v>3</v>
      </c>
      <c r="AO19" s="11">
        <f>1491+994</f>
        <v>2485</v>
      </c>
      <c r="AP19" s="11">
        <f>33+17</f>
        <v>50</v>
      </c>
      <c r="AQ19" s="11">
        <f>47+28</f>
        <v>75</v>
      </c>
      <c r="AR19" s="11">
        <v>8</v>
      </c>
      <c r="AS19" s="11">
        <v>7</v>
      </c>
      <c r="AT19" s="11">
        <v>2</v>
      </c>
      <c r="AU19" s="11">
        <f>39+37</f>
        <v>76</v>
      </c>
    </row>
    <row r="20" spans="1:47" x14ac:dyDescent="0.35">
      <c r="A20" s="23" t="s">
        <v>65</v>
      </c>
      <c r="B20" s="17">
        <v>23255</v>
      </c>
      <c r="C20" s="8">
        <f>109+203</f>
        <v>312</v>
      </c>
      <c r="D20" s="8">
        <f>33+46</f>
        <v>79</v>
      </c>
      <c r="E20" s="8">
        <f>18+21</f>
        <v>39</v>
      </c>
      <c r="F20" s="8">
        <f>13+21</f>
        <v>34</v>
      </c>
      <c r="G20" s="8">
        <v>2</v>
      </c>
      <c r="H20" s="8">
        <v>0</v>
      </c>
      <c r="I20" s="8">
        <v>0</v>
      </c>
      <c r="J20" s="9">
        <v>2</v>
      </c>
      <c r="K20" s="8">
        <v>2</v>
      </c>
      <c r="L20" s="41">
        <f t="shared" si="4"/>
        <v>79</v>
      </c>
      <c r="M20" s="8">
        <f>29+38</f>
        <v>67</v>
      </c>
      <c r="N20" s="8">
        <v>12</v>
      </c>
      <c r="O20" s="8">
        <v>0</v>
      </c>
      <c r="P20" s="8">
        <f t="shared" si="2"/>
        <v>79</v>
      </c>
      <c r="Q20" s="8">
        <v>13</v>
      </c>
      <c r="R20" s="8">
        <v>13</v>
      </c>
      <c r="S20" s="8">
        <v>4</v>
      </c>
      <c r="T20" s="8">
        <v>15</v>
      </c>
      <c r="U20" s="8">
        <v>12</v>
      </c>
      <c r="V20" s="8">
        <v>1</v>
      </c>
      <c r="W20" s="8">
        <v>21</v>
      </c>
      <c r="X20" s="8">
        <f t="shared" si="3"/>
        <v>79</v>
      </c>
      <c r="Y20" s="8">
        <f>111+204</f>
        <v>315</v>
      </c>
      <c r="Z20" s="8">
        <f>85+230</f>
        <v>315</v>
      </c>
      <c r="AA20" s="8">
        <f>138+156</f>
        <v>294</v>
      </c>
      <c r="AB20" s="8">
        <f>22+48</f>
        <v>70</v>
      </c>
      <c r="AC20" s="8">
        <f>78+93</f>
        <v>171</v>
      </c>
      <c r="AD20" s="8">
        <v>2</v>
      </c>
      <c r="AE20" s="8">
        <v>35</v>
      </c>
      <c r="AF20" s="8">
        <v>6</v>
      </c>
      <c r="AG20" s="8">
        <v>5</v>
      </c>
      <c r="AH20" s="8">
        <v>45</v>
      </c>
      <c r="AI20" s="8">
        <v>7</v>
      </c>
      <c r="AJ20" s="8">
        <v>1</v>
      </c>
      <c r="AK20" s="8">
        <v>4</v>
      </c>
      <c r="AL20" s="8">
        <v>3</v>
      </c>
      <c r="AM20" s="8">
        <v>4</v>
      </c>
      <c r="AN20" s="8">
        <v>39</v>
      </c>
      <c r="AO20" s="8">
        <f>216+160</f>
        <v>376</v>
      </c>
      <c r="AP20" s="8">
        <f>7+16</f>
        <v>23</v>
      </c>
      <c r="AQ20" s="8">
        <v>9</v>
      </c>
      <c r="AR20" s="8">
        <v>0</v>
      </c>
      <c r="AS20" s="8">
        <v>22</v>
      </c>
      <c r="AT20" s="8">
        <v>23</v>
      </c>
      <c r="AU20" s="8">
        <v>0</v>
      </c>
    </row>
    <row r="21" spans="1:47" x14ac:dyDescent="0.35">
      <c r="A21" s="23" t="s">
        <v>66</v>
      </c>
      <c r="B21" s="16">
        <v>157376</v>
      </c>
      <c r="C21" s="11">
        <f>245+1571</f>
        <v>1816</v>
      </c>
      <c r="D21" s="11">
        <f>868+783</f>
        <v>1651</v>
      </c>
      <c r="E21" s="11">
        <f>624+543</f>
        <v>1167</v>
      </c>
      <c r="F21" s="11">
        <f>111+103</f>
        <v>214</v>
      </c>
      <c r="G21" s="11">
        <f>53+54</f>
        <v>107</v>
      </c>
      <c r="H21" s="11">
        <v>4</v>
      </c>
      <c r="I21" s="11">
        <v>20</v>
      </c>
      <c r="J21" s="12">
        <f>47+35</f>
        <v>82</v>
      </c>
      <c r="K21" s="11">
        <f>22+35</f>
        <v>57</v>
      </c>
      <c r="L21" s="11">
        <f t="shared" si="4"/>
        <v>1651</v>
      </c>
      <c r="M21" s="11">
        <f>826+768</f>
        <v>1594</v>
      </c>
      <c r="N21" s="11">
        <f>42+15</f>
        <v>57</v>
      </c>
      <c r="O21" s="11">
        <v>0</v>
      </c>
      <c r="P21" s="11">
        <f t="shared" si="2"/>
        <v>1651</v>
      </c>
      <c r="Q21" s="11">
        <v>29</v>
      </c>
      <c r="R21" s="11">
        <v>12</v>
      </c>
      <c r="S21" s="11">
        <f>155+105</f>
        <v>260</v>
      </c>
      <c r="T21" s="11">
        <f>342+371</f>
        <v>713</v>
      </c>
      <c r="U21" s="11">
        <f>234+232</f>
        <v>466</v>
      </c>
      <c r="V21" s="11">
        <v>62</v>
      </c>
      <c r="W21" s="11">
        <v>109</v>
      </c>
      <c r="X21" s="11">
        <f t="shared" si="3"/>
        <v>1651</v>
      </c>
      <c r="Y21" s="11">
        <f>840+1194</f>
        <v>2034</v>
      </c>
      <c r="Z21" s="11">
        <f>530+486</f>
        <v>1016</v>
      </c>
      <c r="AA21" s="11">
        <f>340+624</f>
        <v>964</v>
      </c>
      <c r="AB21" s="11">
        <f>109+99</f>
        <v>208</v>
      </c>
      <c r="AC21" s="11">
        <f>683+328</f>
        <v>1011</v>
      </c>
      <c r="AD21" s="11">
        <v>2</v>
      </c>
      <c r="AE21" s="11">
        <f>349+319</f>
        <v>668</v>
      </c>
      <c r="AF21" s="11">
        <v>12</v>
      </c>
      <c r="AG21" s="11">
        <v>15</v>
      </c>
      <c r="AH21" s="11">
        <v>25</v>
      </c>
      <c r="AI21" s="11">
        <v>0</v>
      </c>
      <c r="AJ21" s="11">
        <v>25</v>
      </c>
      <c r="AK21" s="11">
        <f>32+31</f>
        <v>63</v>
      </c>
      <c r="AL21" s="11">
        <v>0</v>
      </c>
      <c r="AM21" s="11">
        <v>11</v>
      </c>
      <c r="AN21" s="11">
        <v>6</v>
      </c>
      <c r="AO21" s="11">
        <f>421+318</f>
        <v>739</v>
      </c>
      <c r="AP21" s="11">
        <f>27+35</f>
        <v>62</v>
      </c>
      <c r="AQ21" s="11">
        <f>32+16</f>
        <v>48</v>
      </c>
      <c r="AR21" s="11">
        <v>0</v>
      </c>
      <c r="AS21" s="11">
        <v>0</v>
      </c>
      <c r="AT21" s="11">
        <f>130+75</f>
        <v>205</v>
      </c>
      <c r="AU21" s="11">
        <f>125+148</f>
        <v>273</v>
      </c>
    </row>
    <row r="22" spans="1:47" x14ac:dyDescent="0.35">
      <c r="A22" s="23" t="s">
        <v>150</v>
      </c>
      <c r="B22" s="16">
        <v>72736</v>
      </c>
      <c r="C22" s="11"/>
      <c r="D22" s="11"/>
      <c r="E22" s="11"/>
      <c r="F22" s="11"/>
      <c r="G22" s="11"/>
      <c r="H22" s="11"/>
      <c r="I22" s="11"/>
      <c r="J22" s="12"/>
      <c r="K22" s="11"/>
      <c r="L22" s="11">
        <f t="shared" si="4"/>
        <v>0</v>
      </c>
      <c r="M22" s="11"/>
      <c r="N22" s="11"/>
      <c r="O22" s="11"/>
      <c r="P22" s="11">
        <f t="shared" si="2"/>
        <v>0</v>
      </c>
      <c r="Q22" s="11"/>
      <c r="R22" s="11"/>
      <c r="S22" s="11"/>
      <c r="T22" s="11"/>
      <c r="U22" s="11"/>
      <c r="V22" s="11"/>
      <c r="W22" s="11"/>
      <c r="X22" s="11">
        <f t="shared" si="3"/>
        <v>0</v>
      </c>
      <c r="Y22" s="11"/>
      <c r="Z22" s="11"/>
      <c r="AA22" s="11"/>
      <c r="AB22" s="11"/>
      <c r="AC22" s="11"/>
      <c r="AD22" s="11"/>
      <c r="AE22" s="11"/>
      <c r="AF22" s="11"/>
      <c r="AG22" s="11"/>
      <c r="AH22" s="11"/>
      <c r="AI22" s="11"/>
      <c r="AJ22" s="11"/>
      <c r="AK22" s="11"/>
      <c r="AL22" s="11"/>
      <c r="AM22" s="11"/>
      <c r="AN22" s="11"/>
      <c r="AO22" s="11"/>
      <c r="AP22" s="11"/>
      <c r="AQ22" s="11"/>
      <c r="AR22" s="11"/>
      <c r="AS22" s="11"/>
      <c r="AT22" s="11"/>
      <c r="AU22" s="11"/>
    </row>
    <row r="23" spans="1:47" x14ac:dyDescent="0.35">
      <c r="A23" s="23" t="s">
        <v>67</v>
      </c>
      <c r="B23" s="17">
        <v>28941</v>
      </c>
      <c r="C23" s="8">
        <f>2387+1683</f>
        <v>4070</v>
      </c>
      <c r="D23" s="8">
        <f>63+118</f>
        <v>181</v>
      </c>
      <c r="E23" s="8">
        <f>56+105</f>
        <v>161</v>
      </c>
      <c r="F23" s="8">
        <v>2</v>
      </c>
      <c r="G23" s="8">
        <v>9</v>
      </c>
      <c r="H23" s="8">
        <v>1</v>
      </c>
      <c r="I23" s="8">
        <v>0</v>
      </c>
      <c r="J23" s="9">
        <v>8</v>
      </c>
      <c r="K23" s="8">
        <v>0</v>
      </c>
      <c r="L23" s="41">
        <f t="shared" si="4"/>
        <v>181</v>
      </c>
      <c r="M23" s="8">
        <f>53+107</f>
        <v>160</v>
      </c>
      <c r="N23" s="8">
        <v>21</v>
      </c>
      <c r="O23" s="8">
        <v>0</v>
      </c>
      <c r="P23" s="8">
        <f t="shared" si="2"/>
        <v>181</v>
      </c>
      <c r="Q23" s="8">
        <v>18</v>
      </c>
      <c r="R23" s="8">
        <v>17</v>
      </c>
      <c r="S23" s="8">
        <v>11</v>
      </c>
      <c r="T23" s="8">
        <v>38</v>
      </c>
      <c r="U23" s="8">
        <f>19+36</f>
        <v>55</v>
      </c>
      <c r="V23" s="8">
        <v>38</v>
      </c>
      <c r="W23" s="8">
        <v>4</v>
      </c>
      <c r="X23" s="8">
        <f t="shared" si="3"/>
        <v>181</v>
      </c>
      <c r="Y23" s="8">
        <f>1747+3146</f>
        <v>4893</v>
      </c>
      <c r="Z23" s="8">
        <f>1452+1561</f>
        <v>3013</v>
      </c>
      <c r="AA23" s="8">
        <f>320+660</f>
        <v>980</v>
      </c>
      <c r="AB23" s="8">
        <f>138+111</f>
        <v>249</v>
      </c>
      <c r="AC23" s="8">
        <f>678+1051</f>
        <v>1729</v>
      </c>
      <c r="AD23" s="8">
        <v>62</v>
      </c>
      <c r="AE23" s="8">
        <f>155+299</f>
        <v>454</v>
      </c>
      <c r="AF23" s="8">
        <v>20</v>
      </c>
      <c r="AG23" s="8">
        <v>3</v>
      </c>
      <c r="AH23" s="8">
        <v>310</v>
      </c>
      <c r="AI23" s="8">
        <v>365</v>
      </c>
      <c r="AJ23" s="8">
        <v>1028</v>
      </c>
      <c r="AK23" s="8">
        <v>30</v>
      </c>
      <c r="AL23" s="8">
        <v>48</v>
      </c>
      <c r="AM23" s="8">
        <f>55+71</f>
        <v>126</v>
      </c>
      <c r="AN23" s="8">
        <f>151+120</f>
        <v>271</v>
      </c>
      <c r="AO23" s="8">
        <f>964+1030</f>
        <v>1994</v>
      </c>
      <c r="AP23" s="8">
        <v>23</v>
      </c>
      <c r="AQ23" s="8">
        <f>21+23</f>
        <v>44</v>
      </c>
      <c r="AR23" s="8">
        <v>3</v>
      </c>
      <c r="AS23" s="8">
        <v>66</v>
      </c>
      <c r="AT23" s="8">
        <v>0</v>
      </c>
      <c r="AU23" s="8">
        <v>0</v>
      </c>
    </row>
    <row r="24" spans="1:47" x14ac:dyDescent="0.35">
      <c r="A24" s="23" t="s">
        <v>68</v>
      </c>
      <c r="B24" s="16">
        <v>14243</v>
      </c>
      <c r="C24" s="11">
        <f>22+27</f>
        <v>49</v>
      </c>
      <c r="D24" s="11">
        <f>19+42</f>
        <v>61</v>
      </c>
      <c r="E24" s="11">
        <f>17+9</f>
        <v>26</v>
      </c>
      <c r="F24" s="11">
        <v>8</v>
      </c>
      <c r="G24" s="11">
        <f>8+17</f>
        <v>25</v>
      </c>
      <c r="H24" s="11">
        <v>0</v>
      </c>
      <c r="I24" s="11">
        <v>0</v>
      </c>
      <c r="J24" s="12">
        <v>0</v>
      </c>
      <c r="K24" s="11">
        <v>2</v>
      </c>
      <c r="L24" s="11">
        <f t="shared" si="4"/>
        <v>61</v>
      </c>
      <c r="M24" s="11">
        <f>19+37</f>
        <v>56</v>
      </c>
      <c r="N24" s="11">
        <v>5</v>
      </c>
      <c r="O24" s="11">
        <v>0</v>
      </c>
      <c r="P24" s="11">
        <f t="shared" si="2"/>
        <v>61</v>
      </c>
      <c r="Q24" s="11">
        <v>13</v>
      </c>
      <c r="R24" s="11">
        <v>0</v>
      </c>
      <c r="S24" s="11">
        <v>5</v>
      </c>
      <c r="T24" s="11">
        <v>28</v>
      </c>
      <c r="U24" s="11">
        <v>10</v>
      </c>
      <c r="V24" s="11">
        <v>3</v>
      </c>
      <c r="W24" s="11">
        <v>2</v>
      </c>
      <c r="X24" s="11">
        <f t="shared" si="3"/>
        <v>61</v>
      </c>
      <c r="Y24" s="11">
        <f>66+115</f>
        <v>181</v>
      </c>
      <c r="Z24" s="11">
        <v>73</v>
      </c>
      <c r="AA24" s="11">
        <f>80+96</f>
        <v>176</v>
      </c>
      <c r="AB24" s="11">
        <f>25+44</f>
        <v>69</v>
      </c>
      <c r="AC24" s="11">
        <f>68+131</f>
        <v>199</v>
      </c>
      <c r="AD24" s="11">
        <v>0</v>
      </c>
      <c r="AE24" s="11">
        <f>13+27</f>
        <v>40</v>
      </c>
      <c r="AF24" s="11">
        <v>0</v>
      </c>
      <c r="AG24" s="11">
        <v>0</v>
      </c>
      <c r="AH24" s="11">
        <v>0</v>
      </c>
      <c r="AI24" s="11">
        <v>0</v>
      </c>
      <c r="AJ24" s="11">
        <v>0</v>
      </c>
      <c r="AK24" s="11">
        <v>27</v>
      </c>
      <c r="AL24" s="11">
        <v>29</v>
      </c>
      <c r="AM24" s="11">
        <v>58</v>
      </c>
      <c r="AN24" s="11">
        <v>0</v>
      </c>
      <c r="AO24" s="11">
        <f>102+177</f>
        <v>279</v>
      </c>
      <c r="AP24" s="11">
        <v>1</v>
      </c>
      <c r="AQ24" s="11">
        <v>5</v>
      </c>
      <c r="AR24" s="11">
        <v>0</v>
      </c>
      <c r="AS24" s="11">
        <v>0</v>
      </c>
      <c r="AT24" s="11">
        <v>0</v>
      </c>
      <c r="AU24" s="11">
        <v>0</v>
      </c>
    </row>
    <row r="25" spans="1:47" x14ac:dyDescent="0.35">
      <c r="A25" s="23" t="s">
        <v>69</v>
      </c>
      <c r="B25" s="19">
        <v>11487</v>
      </c>
      <c r="C25" s="8">
        <f>326+302</f>
        <v>628</v>
      </c>
      <c r="D25" s="8">
        <f>108+132</f>
        <v>240</v>
      </c>
      <c r="E25" s="8">
        <f>94+112</f>
        <v>206</v>
      </c>
      <c r="F25" s="8">
        <v>5</v>
      </c>
      <c r="G25" s="8">
        <v>23</v>
      </c>
      <c r="H25" s="8">
        <v>0</v>
      </c>
      <c r="I25" s="8">
        <v>2</v>
      </c>
      <c r="J25" s="9">
        <v>2</v>
      </c>
      <c r="K25" s="8">
        <v>2</v>
      </c>
      <c r="L25" s="41">
        <f t="shared" si="4"/>
        <v>240</v>
      </c>
      <c r="M25" s="8">
        <f>83+102</f>
        <v>185</v>
      </c>
      <c r="N25" s="8">
        <v>55</v>
      </c>
      <c r="O25" s="8">
        <v>0</v>
      </c>
      <c r="P25" s="8">
        <f t="shared" si="2"/>
        <v>240</v>
      </c>
      <c r="Q25" s="8">
        <f>23+39</f>
        <v>62</v>
      </c>
      <c r="R25" s="8">
        <v>12</v>
      </c>
      <c r="S25" s="8">
        <v>19</v>
      </c>
      <c r="T25" s="8">
        <f>26+36</f>
        <v>62</v>
      </c>
      <c r="U25" s="8">
        <v>57</v>
      </c>
      <c r="V25" s="8">
        <v>11</v>
      </c>
      <c r="W25" s="8">
        <v>17</v>
      </c>
      <c r="X25" s="8">
        <f t="shared" si="3"/>
        <v>240</v>
      </c>
      <c r="Y25" s="8">
        <f>476+718</f>
        <v>1194</v>
      </c>
      <c r="Z25" s="8">
        <f>627+387</f>
        <v>1014</v>
      </c>
      <c r="AA25" s="8">
        <f>661+502</f>
        <v>1163</v>
      </c>
      <c r="AB25" s="8">
        <f>57+29</f>
        <v>86</v>
      </c>
      <c r="AC25" s="8">
        <f>455+616</f>
        <v>1071</v>
      </c>
      <c r="AD25" s="8">
        <v>0</v>
      </c>
      <c r="AE25" s="8">
        <f>197+81</f>
        <v>278</v>
      </c>
      <c r="AF25" s="8">
        <v>38</v>
      </c>
      <c r="AG25" s="8">
        <v>0</v>
      </c>
      <c r="AH25" s="8">
        <v>38</v>
      </c>
      <c r="AI25" s="8">
        <v>9</v>
      </c>
      <c r="AJ25" s="8">
        <v>12</v>
      </c>
      <c r="AK25" s="8">
        <v>36</v>
      </c>
      <c r="AL25" s="8">
        <v>0</v>
      </c>
      <c r="AM25" s="8">
        <v>29</v>
      </c>
      <c r="AN25" s="8">
        <v>1</v>
      </c>
      <c r="AO25" s="8" t="s">
        <v>187</v>
      </c>
      <c r="AP25" s="8">
        <v>11</v>
      </c>
      <c r="AQ25" s="8">
        <v>15</v>
      </c>
      <c r="AR25" s="8">
        <v>0</v>
      </c>
      <c r="AS25" s="8">
        <v>0</v>
      </c>
      <c r="AT25" s="8">
        <v>0</v>
      </c>
      <c r="AU25" s="8">
        <v>0</v>
      </c>
    </row>
    <row r="26" spans="1:47" x14ac:dyDescent="0.35">
      <c r="A26" s="23" t="s">
        <v>70</v>
      </c>
      <c r="B26" s="16">
        <v>98427</v>
      </c>
      <c r="C26" s="11">
        <f>327+293</f>
        <v>620</v>
      </c>
      <c r="D26" s="11">
        <f>267+238</f>
        <v>505</v>
      </c>
      <c r="E26" s="11">
        <f>162+148</f>
        <v>310</v>
      </c>
      <c r="F26" s="11">
        <f>88+65</f>
        <v>153</v>
      </c>
      <c r="G26" s="11">
        <v>13</v>
      </c>
      <c r="H26" s="11">
        <v>4</v>
      </c>
      <c r="I26" s="11">
        <v>0</v>
      </c>
      <c r="J26" s="12">
        <v>8</v>
      </c>
      <c r="K26" s="11">
        <v>17</v>
      </c>
      <c r="L26" s="11">
        <f t="shared" si="4"/>
        <v>505</v>
      </c>
      <c r="M26" s="11">
        <f>248+219</f>
        <v>467</v>
      </c>
      <c r="N26" s="11">
        <v>38</v>
      </c>
      <c r="O26" s="11">
        <v>0</v>
      </c>
      <c r="P26" s="11">
        <f t="shared" si="2"/>
        <v>505</v>
      </c>
      <c r="Q26" s="11">
        <f>24+23</f>
        <v>47</v>
      </c>
      <c r="R26" s="11">
        <v>5</v>
      </c>
      <c r="S26" s="11">
        <f>32+47</f>
        <v>79</v>
      </c>
      <c r="T26" s="11">
        <f>137+102</f>
        <v>239</v>
      </c>
      <c r="U26" s="11">
        <f>58+54</f>
        <v>112</v>
      </c>
      <c r="V26" s="11">
        <f>14+9</f>
        <v>23</v>
      </c>
      <c r="W26" s="11">
        <v>0</v>
      </c>
      <c r="X26" s="11">
        <f t="shared" si="3"/>
        <v>505</v>
      </c>
      <c r="Y26" s="11">
        <f>1616+1046</f>
        <v>2662</v>
      </c>
      <c r="Z26" s="11">
        <f>217+91</f>
        <v>308</v>
      </c>
      <c r="AA26" s="11">
        <f>349+186</f>
        <v>535</v>
      </c>
      <c r="AB26" s="11">
        <f>49+105</f>
        <v>154</v>
      </c>
      <c r="AC26" s="11">
        <v>167</v>
      </c>
      <c r="AD26" s="11">
        <v>7</v>
      </c>
      <c r="AE26" s="11">
        <f>490+275</f>
        <v>765</v>
      </c>
      <c r="AF26" s="11">
        <v>13</v>
      </c>
      <c r="AG26" s="11">
        <v>2</v>
      </c>
      <c r="AH26" s="11">
        <v>17</v>
      </c>
      <c r="AI26" s="11">
        <v>113</v>
      </c>
      <c r="AJ26" s="11">
        <v>178</v>
      </c>
      <c r="AK26" s="11">
        <f>43+31</f>
        <v>74</v>
      </c>
      <c r="AL26" s="11">
        <v>0</v>
      </c>
      <c r="AM26" s="11">
        <v>7</v>
      </c>
      <c r="AN26" s="11">
        <v>6</v>
      </c>
      <c r="AO26" s="11">
        <v>548</v>
      </c>
      <c r="AP26" s="11">
        <v>49</v>
      </c>
      <c r="AQ26" s="11">
        <f>45+49</f>
        <v>94</v>
      </c>
      <c r="AR26" s="11">
        <v>5</v>
      </c>
      <c r="AS26" s="11">
        <f>17+19</f>
        <v>36</v>
      </c>
      <c r="AT26" s="11">
        <v>125</v>
      </c>
      <c r="AU26" s="11">
        <f>161+32</f>
        <v>193</v>
      </c>
    </row>
    <row r="27" spans="1:47" x14ac:dyDescent="0.35">
      <c r="A27" s="23" t="s">
        <v>71</v>
      </c>
      <c r="B27" s="17">
        <v>56649</v>
      </c>
      <c r="C27" s="8">
        <f>208+219</f>
        <v>427</v>
      </c>
      <c r="D27" s="8">
        <f>395+392</f>
        <v>787</v>
      </c>
      <c r="E27" s="8">
        <f>219+217</f>
        <v>436</v>
      </c>
      <c r="F27" s="8">
        <f>125+123</f>
        <v>248</v>
      </c>
      <c r="G27" s="8">
        <f>21+23</f>
        <v>44</v>
      </c>
      <c r="H27" s="8">
        <v>11</v>
      </c>
      <c r="I27" s="8">
        <v>0</v>
      </c>
      <c r="J27" s="9">
        <v>15</v>
      </c>
      <c r="K27" s="8">
        <f>16+17</f>
        <v>33</v>
      </c>
      <c r="L27" s="41">
        <f t="shared" si="4"/>
        <v>787</v>
      </c>
      <c r="M27" s="8">
        <f>341+342</f>
        <v>683</v>
      </c>
      <c r="N27" s="8">
        <f>53+51</f>
        <v>104</v>
      </c>
      <c r="O27" s="8">
        <v>0</v>
      </c>
      <c r="P27" s="8">
        <f t="shared" si="2"/>
        <v>787</v>
      </c>
      <c r="Q27" s="8">
        <f>36+33</f>
        <v>69</v>
      </c>
      <c r="R27" s="8">
        <f>28+26</f>
        <v>54</v>
      </c>
      <c r="S27" s="8">
        <f>120+118</f>
        <v>238</v>
      </c>
      <c r="T27" s="8">
        <f>185+187</f>
        <v>372</v>
      </c>
      <c r="U27" s="8">
        <v>24</v>
      </c>
      <c r="V27" s="8">
        <v>18</v>
      </c>
      <c r="W27" s="8">
        <v>12</v>
      </c>
      <c r="X27" s="8">
        <f t="shared" si="3"/>
        <v>787</v>
      </c>
      <c r="Y27" s="8">
        <f>225+228</f>
        <v>453</v>
      </c>
      <c r="Z27" s="8">
        <f>402+398</f>
        <v>800</v>
      </c>
      <c r="AA27" s="8">
        <f>175+176</f>
        <v>351</v>
      </c>
      <c r="AB27" s="8">
        <f>52+48</f>
        <v>100</v>
      </c>
      <c r="AC27" s="8">
        <f>31+32</f>
        <v>63</v>
      </c>
      <c r="AD27" s="8">
        <f>44+47</f>
        <v>91</v>
      </c>
      <c r="AE27" s="8">
        <f>119+121</f>
        <v>240</v>
      </c>
      <c r="AF27" s="8">
        <v>26</v>
      </c>
      <c r="AG27" s="8">
        <v>17</v>
      </c>
      <c r="AH27" s="8">
        <v>31</v>
      </c>
      <c r="AI27" s="8">
        <v>24</v>
      </c>
      <c r="AJ27" s="8">
        <v>8</v>
      </c>
      <c r="AK27" s="8">
        <v>20</v>
      </c>
      <c r="AL27" s="8">
        <v>18</v>
      </c>
      <c r="AM27" s="8">
        <f>16+18</f>
        <v>34</v>
      </c>
      <c r="AN27" s="8">
        <v>11</v>
      </c>
      <c r="AO27" s="8">
        <f>1944+1958</f>
        <v>3902</v>
      </c>
      <c r="AP27" s="8">
        <f>52+51</f>
        <v>103</v>
      </c>
      <c r="AQ27" s="8">
        <f>39+42</f>
        <v>81</v>
      </c>
      <c r="AR27" s="8">
        <v>3</v>
      </c>
      <c r="AS27" s="8">
        <v>8</v>
      </c>
      <c r="AT27" s="8">
        <v>8</v>
      </c>
      <c r="AU27" s="8">
        <f>26+32</f>
        <v>58</v>
      </c>
    </row>
    <row r="28" spans="1:47" x14ac:dyDescent="0.35">
      <c r="A28" s="23" t="s">
        <v>72</v>
      </c>
      <c r="B28" s="16">
        <v>103557</v>
      </c>
      <c r="C28" s="11">
        <f>560+634</f>
        <v>1194</v>
      </c>
      <c r="D28" s="11">
        <f>325+196</f>
        <v>521</v>
      </c>
      <c r="E28" s="11">
        <f>133+107</f>
        <v>240</v>
      </c>
      <c r="F28" s="11">
        <f>144+60</f>
        <v>204</v>
      </c>
      <c r="G28" s="11">
        <v>28</v>
      </c>
      <c r="H28" s="11">
        <v>0</v>
      </c>
      <c r="I28" s="11">
        <v>5</v>
      </c>
      <c r="J28" s="12">
        <v>0</v>
      </c>
      <c r="K28" s="11">
        <v>44</v>
      </c>
      <c r="L28" s="11">
        <f t="shared" si="4"/>
        <v>521</v>
      </c>
      <c r="M28" s="11">
        <f>204+153</f>
        <v>357</v>
      </c>
      <c r="N28" s="11">
        <f>121+43</f>
        <v>164</v>
      </c>
      <c r="O28" s="11">
        <v>0</v>
      </c>
      <c r="P28" s="11">
        <f t="shared" si="2"/>
        <v>521</v>
      </c>
      <c r="Q28" s="11">
        <f>152+72</f>
        <v>224</v>
      </c>
      <c r="R28" s="11">
        <f>23+20</f>
        <v>43</v>
      </c>
      <c r="S28" s="11">
        <f>23+24</f>
        <v>47</v>
      </c>
      <c r="T28" s="11">
        <f>75+47</f>
        <v>122</v>
      </c>
      <c r="U28" s="11">
        <f>45+30</f>
        <v>75</v>
      </c>
      <c r="V28" s="11">
        <v>10</v>
      </c>
      <c r="W28" s="11">
        <v>0</v>
      </c>
      <c r="X28" s="11">
        <f t="shared" si="3"/>
        <v>521</v>
      </c>
      <c r="Y28" s="11">
        <f>505+412</f>
        <v>917</v>
      </c>
      <c r="Z28" s="11">
        <f>751+989</f>
        <v>1740</v>
      </c>
      <c r="AA28" s="11">
        <f>1152+825</f>
        <v>1977</v>
      </c>
      <c r="AB28" s="11">
        <f>374+792</f>
        <v>1166</v>
      </c>
      <c r="AC28" s="11">
        <f>640+720</f>
        <v>1360</v>
      </c>
      <c r="AD28" s="11">
        <v>28</v>
      </c>
      <c r="AE28" s="11">
        <f>154+59</f>
        <v>213</v>
      </c>
      <c r="AF28" s="11">
        <v>215</v>
      </c>
      <c r="AG28" s="11">
        <v>0</v>
      </c>
      <c r="AH28" s="11">
        <v>184</v>
      </c>
      <c r="AI28" s="11">
        <v>39</v>
      </c>
      <c r="AJ28" s="11">
        <v>69</v>
      </c>
      <c r="AK28" s="11">
        <v>40</v>
      </c>
      <c r="AL28" s="11">
        <v>0</v>
      </c>
      <c r="AM28" s="11">
        <v>3</v>
      </c>
      <c r="AN28" s="11">
        <f>22+23</f>
        <v>45</v>
      </c>
      <c r="AO28" s="11">
        <f>2331+2433</f>
        <v>4764</v>
      </c>
      <c r="AP28" s="11">
        <f>13+14</f>
        <v>27</v>
      </c>
      <c r="AQ28" s="11">
        <f>27+22</f>
        <v>49</v>
      </c>
      <c r="AR28" s="11">
        <v>0</v>
      </c>
      <c r="AS28" s="11">
        <v>25</v>
      </c>
      <c r="AT28" s="11">
        <f>155+97</f>
        <v>252</v>
      </c>
      <c r="AU28" s="11">
        <f>99+183</f>
        <v>282</v>
      </c>
    </row>
    <row r="29" spans="1:47" x14ac:dyDescent="0.35">
      <c r="A29" s="23" t="s">
        <v>73</v>
      </c>
      <c r="B29" s="17">
        <v>329017</v>
      </c>
      <c r="C29" s="8">
        <f>5225+5411</f>
        <v>10636</v>
      </c>
      <c r="D29" s="8">
        <f>242+226</f>
        <v>468</v>
      </c>
      <c r="E29" s="8">
        <v>98</v>
      </c>
      <c r="F29" s="8">
        <f>98+112</f>
        <v>210</v>
      </c>
      <c r="G29" s="8">
        <f>19+12</f>
        <v>31</v>
      </c>
      <c r="H29" s="8">
        <v>34</v>
      </c>
      <c r="I29" s="8">
        <v>6</v>
      </c>
      <c r="J29" s="9">
        <f>26+22</f>
        <v>48</v>
      </c>
      <c r="K29" s="8">
        <v>41</v>
      </c>
      <c r="L29" s="41">
        <f t="shared" si="4"/>
        <v>468</v>
      </c>
      <c r="M29" s="8">
        <f>184+215</f>
        <v>399</v>
      </c>
      <c r="N29" s="8">
        <f>58+11</f>
        <v>69</v>
      </c>
      <c r="O29" s="8">
        <v>0</v>
      </c>
      <c r="P29" s="8">
        <f t="shared" si="2"/>
        <v>468</v>
      </c>
      <c r="Q29" s="8">
        <v>0</v>
      </c>
      <c r="R29" s="8">
        <v>0</v>
      </c>
      <c r="S29" s="8">
        <f>54+39</f>
        <v>93</v>
      </c>
      <c r="T29" s="8">
        <f>125+126</f>
        <v>251</v>
      </c>
      <c r="U29" s="8">
        <f>56+52</f>
        <v>108</v>
      </c>
      <c r="V29" s="8">
        <v>8</v>
      </c>
      <c r="W29" s="8">
        <v>8</v>
      </c>
      <c r="X29" s="8">
        <f t="shared" si="3"/>
        <v>468</v>
      </c>
      <c r="Y29" s="8">
        <f>468+407</f>
        <v>875</v>
      </c>
      <c r="Z29" s="8">
        <f>313+342</f>
        <v>655</v>
      </c>
      <c r="AA29" s="8">
        <f>366+295</f>
        <v>661</v>
      </c>
      <c r="AB29" s="8">
        <f>1105+565</f>
        <v>1670</v>
      </c>
      <c r="AC29" s="8">
        <f>497+437</f>
        <v>934</v>
      </c>
      <c r="AD29" s="8">
        <v>3</v>
      </c>
      <c r="AE29" s="8">
        <f>321+338</f>
        <v>659</v>
      </c>
      <c r="AF29" s="8">
        <v>5</v>
      </c>
      <c r="AG29" s="8">
        <v>3</v>
      </c>
      <c r="AH29" s="8">
        <v>44</v>
      </c>
      <c r="AI29" s="8">
        <v>1</v>
      </c>
      <c r="AJ29" s="8">
        <v>1</v>
      </c>
      <c r="AK29" s="8">
        <v>18</v>
      </c>
      <c r="AL29" s="8">
        <v>0</v>
      </c>
      <c r="AM29" s="8">
        <v>23</v>
      </c>
      <c r="AN29" s="8">
        <v>1</v>
      </c>
      <c r="AO29" s="8">
        <v>14</v>
      </c>
      <c r="AP29" s="8">
        <f>54+51</f>
        <v>105</v>
      </c>
      <c r="AQ29" s="8">
        <v>173</v>
      </c>
      <c r="AR29" s="8">
        <v>1</v>
      </c>
      <c r="AS29" s="8">
        <v>15</v>
      </c>
      <c r="AT29" s="8">
        <v>25</v>
      </c>
      <c r="AU29" s="8">
        <f>94+85</f>
        <v>179</v>
      </c>
    </row>
    <row r="30" spans="1:47" x14ac:dyDescent="0.35">
      <c r="A30" s="23" t="s">
        <v>74</v>
      </c>
      <c r="B30" s="16">
        <v>26666</v>
      </c>
      <c r="C30" s="11">
        <f>48+47</f>
        <v>95</v>
      </c>
      <c r="D30" s="11">
        <f>32+43</f>
        <v>75</v>
      </c>
      <c r="E30" s="11">
        <v>67</v>
      </c>
      <c r="F30" s="11">
        <v>3</v>
      </c>
      <c r="G30" s="11">
        <v>2</v>
      </c>
      <c r="H30" s="11">
        <v>0</v>
      </c>
      <c r="I30" s="11">
        <v>1</v>
      </c>
      <c r="J30" s="12">
        <v>0</v>
      </c>
      <c r="K30" s="11">
        <v>2</v>
      </c>
      <c r="L30" s="11">
        <f t="shared" si="4"/>
        <v>75</v>
      </c>
      <c r="M30" s="11">
        <f>31+38</f>
        <v>69</v>
      </c>
      <c r="N30" s="11">
        <v>6</v>
      </c>
      <c r="O30" s="11">
        <v>0</v>
      </c>
      <c r="P30" s="11">
        <f t="shared" si="2"/>
        <v>75</v>
      </c>
      <c r="Q30" s="11">
        <v>5</v>
      </c>
      <c r="R30" s="11">
        <v>2</v>
      </c>
      <c r="S30" s="11">
        <v>12</v>
      </c>
      <c r="T30" s="11">
        <f>16+22</f>
        <v>38</v>
      </c>
      <c r="U30" s="11">
        <v>16</v>
      </c>
      <c r="V30" s="11">
        <v>2</v>
      </c>
      <c r="W30" s="11">
        <v>0</v>
      </c>
      <c r="X30" s="11">
        <f t="shared" si="3"/>
        <v>75</v>
      </c>
      <c r="Y30" s="11">
        <f>195+159</f>
        <v>354</v>
      </c>
      <c r="Z30" s="11">
        <f>62+76</f>
        <v>138</v>
      </c>
      <c r="AA30" s="11">
        <f>145+118</f>
        <v>263</v>
      </c>
      <c r="AB30" s="11">
        <f>69+88</f>
        <v>157</v>
      </c>
      <c r="AC30" s="11">
        <f>210+245</f>
        <v>455</v>
      </c>
      <c r="AD30" s="11">
        <v>0</v>
      </c>
      <c r="AE30" s="11">
        <f>35+34</f>
        <v>69</v>
      </c>
      <c r="AF30" s="11">
        <v>0</v>
      </c>
      <c r="AG30" s="11">
        <v>0</v>
      </c>
      <c r="AH30" s="11">
        <v>0</v>
      </c>
      <c r="AI30" s="11">
        <v>0</v>
      </c>
      <c r="AJ30" s="11">
        <v>0</v>
      </c>
      <c r="AK30" s="11">
        <v>27</v>
      </c>
      <c r="AL30" s="11">
        <v>29</v>
      </c>
      <c r="AM30" s="11">
        <f>12+41</f>
        <v>53</v>
      </c>
      <c r="AN30" s="11">
        <v>0</v>
      </c>
      <c r="AO30" s="11">
        <f>171+181</f>
        <v>352</v>
      </c>
      <c r="AP30" s="11">
        <v>16</v>
      </c>
      <c r="AQ30" s="11">
        <v>13</v>
      </c>
      <c r="AR30" s="11">
        <v>0</v>
      </c>
      <c r="AS30" s="11">
        <v>0</v>
      </c>
      <c r="AT30" s="11">
        <v>0</v>
      </c>
      <c r="AU30" s="11">
        <v>0</v>
      </c>
    </row>
    <row r="31" spans="1:47" x14ac:dyDescent="0.35">
      <c r="A31" s="23" t="s">
        <v>75</v>
      </c>
      <c r="B31" s="17">
        <v>36722</v>
      </c>
      <c r="C31" s="8">
        <f>921+3002</f>
        <v>3923</v>
      </c>
      <c r="D31" s="8">
        <f>253+173</f>
        <v>426</v>
      </c>
      <c r="E31" s="8">
        <f>194+160</f>
        <v>354</v>
      </c>
      <c r="F31" s="8">
        <v>5</v>
      </c>
      <c r="G31" s="8">
        <f>18+13</f>
        <v>31</v>
      </c>
      <c r="H31" s="8">
        <v>0</v>
      </c>
      <c r="I31" s="8">
        <v>0</v>
      </c>
      <c r="J31" s="9">
        <v>29</v>
      </c>
      <c r="K31" s="8">
        <v>7</v>
      </c>
      <c r="L31" s="41">
        <f t="shared" si="4"/>
        <v>426</v>
      </c>
      <c r="M31" s="8">
        <f>229+171</f>
        <v>400</v>
      </c>
      <c r="N31" s="8">
        <v>26</v>
      </c>
      <c r="O31" s="8">
        <v>0</v>
      </c>
      <c r="P31" s="8">
        <f t="shared" si="2"/>
        <v>426</v>
      </c>
      <c r="Q31" s="8">
        <v>5</v>
      </c>
      <c r="R31" s="8">
        <f>28+21</f>
        <v>49</v>
      </c>
      <c r="S31" s="8">
        <f>45+31</f>
        <v>76</v>
      </c>
      <c r="T31" s="8">
        <f>96+47</f>
        <v>143</v>
      </c>
      <c r="U31" s="8">
        <f>58+51</f>
        <v>109</v>
      </c>
      <c r="V31" s="8">
        <f>17+12</f>
        <v>29</v>
      </c>
      <c r="W31" s="8">
        <v>15</v>
      </c>
      <c r="X31" s="8">
        <f t="shared" si="3"/>
        <v>426</v>
      </c>
      <c r="Y31" s="8">
        <f>434+402</f>
        <v>836</v>
      </c>
      <c r="Z31" s="8">
        <f>237+248</f>
        <v>485</v>
      </c>
      <c r="AA31" s="8">
        <f>397+99</f>
        <v>496</v>
      </c>
      <c r="AB31" s="8">
        <f>53+34</f>
        <v>87</v>
      </c>
      <c r="AC31" s="8">
        <f>247+245</f>
        <v>492</v>
      </c>
      <c r="AD31" s="8">
        <v>0</v>
      </c>
      <c r="AE31" s="8">
        <f>87+126</f>
        <v>213</v>
      </c>
      <c r="AF31" s="8">
        <v>22</v>
      </c>
      <c r="AG31" s="8">
        <v>13</v>
      </c>
      <c r="AH31" s="8">
        <v>18</v>
      </c>
      <c r="AI31" s="8">
        <v>14</v>
      </c>
      <c r="AJ31" s="8">
        <v>9</v>
      </c>
      <c r="AK31" s="8">
        <v>17</v>
      </c>
      <c r="AL31" s="8">
        <f>29+23</f>
        <v>52</v>
      </c>
      <c r="AM31" s="8">
        <f>154+106</f>
        <v>260</v>
      </c>
      <c r="AN31" s="8">
        <f>78+19</f>
        <v>97</v>
      </c>
      <c r="AO31" s="8">
        <f>1893+476</f>
        <v>2369</v>
      </c>
      <c r="AP31" s="8">
        <f>26+9</f>
        <v>35</v>
      </c>
      <c r="AQ31" s="8">
        <f>31+15</f>
        <v>46</v>
      </c>
      <c r="AR31" s="8">
        <v>7</v>
      </c>
      <c r="AS31" s="8">
        <v>0</v>
      </c>
      <c r="AT31" s="8">
        <v>0</v>
      </c>
      <c r="AU31" s="8">
        <v>183</v>
      </c>
    </row>
    <row r="32" spans="1:47" x14ac:dyDescent="0.35">
      <c r="A32" s="23" t="s">
        <v>76</v>
      </c>
      <c r="B32" s="16">
        <v>166716</v>
      </c>
      <c r="C32" s="11">
        <f>290+501</f>
        <v>791</v>
      </c>
      <c r="D32" s="11">
        <f>375+454</f>
        <v>829</v>
      </c>
      <c r="E32" s="11">
        <f>314+365</f>
        <v>679</v>
      </c>
      <c r="F32" s="11">
        <f>38+47</f>
        <v>85</v>
      </c>
      <c r="G32" s="11">
        <v>30</v>
      </c>
      <c r="H32" s="11">
        <v>1</v>
      </c>
      <c r="I32" s="11">
        <v>8</v>
      </c>
      <c r="J32" s="12">
        <v>0</v>
      </c>
      <c r="K32" s="11">
        <v>26</v>
      </c>
      <c r="L32" s="11">
        <f t="shared" si="4"/>
        <v>829</v>
      </c>
      <c r="M32" s="11">
        <f>308+367</f>
        <v>675</v>
      </c>
      <c r="N32" s="11">
        <f>67+87</f>
        <v>154</v>
      </c>
      <c r="O32" s="11">
        <v>0</v>
      </c>
      <c r="P32" s="11">
        <f t="shared" si="2"/>
        <v>829</v>
      </c>
      <c r="Q32" s="11">
        <f>24+18</f>
        <v>42</v>
      </c>
      <c r="R32" s="11">
        <v>11</v>
      </c>
      <c r="S32" s="11">
        <f>60+74</f>
        <v>134</v>
      </c>
      <c r="T32" s="11">
        <f>141+183</f>
        <v>324</v>
      </c>
      <c r="U32" s="11">
        <f>111+122</f>
        <v>233</v>
      </c>
      <c r="V32" s="11">
        <f>33+41</f>
        <v>74</v>
      </c>
      <c r="W32" s="11">
        <v>11</v>
      </c>
      <c r="X32" s="11">
        <f t="shared" si="3"/>
        <v>829</v>
      </c>
      <c r="Y32" s="11">
        <f>432+423</f>
        <v>855</v>
      </c>
      <c r="Z32" s="11">
        <f>730+147</f>
        <v>877</v>
      </c>
      <c r="AA32" s="11">
        <f>114+73</f>
        <v>187</v>
      </c>
      <c r="AB32" s="11">
        <v>19</v>
      </c>
      <c r="AC32" s="11">
        <f>249+259</f>
        <v>508</v>
      </c>
      <c r="AD32" s="11">
        <v>2</v>
      </c>
      <c r="AE32" s="11">
        <f>1184+1323</f>
        <v>2507</v>
      </c>
      <c r="AF32" s="11">
        <v>7</v>
      </c>
      <c r="AG32" s="11">
        <v>1</v>
      </c>
      <c r="AH32" s="11">
        <v>14</v>
      </c>
      <c r="AI32" s="11">
        <v>14</v>
      </c>
      <c r="AJ32" s="11">
        <v>4</v>
      </c>
      <c r="AK32" s="11">
        <f>32+23</f>
        <v>55</v>
      </c>
      <c r="AL32" s="11">
        <v>0</v>
      </c>
      <c r="AM32" s="11">
        <v>21</v>
      </c>
      <c r="AN32" s="11">
        <v>2</v>
      </c>
      <c r="AO32" s="11">
        <f>949+1154</f>
        <v>2103</v>
      </c>
      <c r="AP32" s="11">
        <f>30+27</f>
        <v>57</v>
      </c>
      <c r="AQ32" s="11">
        <f>29+32</f>
        <v>61</v>
      </c>
      <c r="AR32" s="11">
        <v>2</v>
      </c>
      <c r="AS32" s="11">
        <v>4</v>
      </c>
      <c r="AT32" s="11">
        <f>63+57</f>
        <v>120</v>
      </c>
      <c r="AU32" s="11">
        <v>48</v>
      </c>
    </row>
    <row r="33" spans="1:47" x14ac:dyDescent="0.35">
      <c r="A33" s="23" t="s">
        <v>200</v>
      </c>
      <c r="B33" s="17">
        <v>42686</v>
      </c>
      <c r="C33" s="8">
        <f>157+366</f>
        <v>523</v>
      </c>
      <c r="D33" s="8">
        <f>75+166</f>
        <v>241</v>
      </c>
      <c r="E33" s="8">
        <f>62+122</f>
        <v>184</v>
      </c>
      <c r="F33" s="8">
        <v>21</v>
      </c>
      <c r="G33" s="8">
        <v>9</v>
      </c>
      <c r="H33" s="8">
        <v>2</v>
      </c>
      <c r="I33" s="8">
        <v>0</v>
      </c>
      <c r="J33" s="9">
        <v>22</v>
      </c>
      <c r="K33" s="8">
        <v>3</v>
      </c>
      <c r="L33" s="41">
        <f t="shared" si="4"/>
        <v>241</v>
      </c>
      <c r="M33" s="8">
        <f>69+153</f>
        <v>222</v>
      </c>
      <c r="N33" s="8">
        <v>19</v>
      </c>
      <c r="O33" s="8">
        <v>0</v>
      </c>
      <c r="P33" s="8">
        <f t="shared" si="2"/>
        <v>241</v>
      </c>
      <c r="Q33" s="8">
        <v>1</v>
      </c>
      <c r="R33" s="8">
        <v>10</v>
      </c>
      <c r="S33" s="8">
        <v>38</v>
      </c>
      <c r="T33" s="8">
        <f>28+56</f>
        <v>84</v>
      </c>
      <c r="U33" s="8">
        <v>65</v>
      </c>
      <c r="V33" s="8">
        <v>23</v>
      </c>
      <c r="W33" s="8">
        <v>20</v>
      </c>
      <c r="X33" s="8">
        <f t="shared" si="3"/>
        <v>241</v>
      </c>
      <c r="Y33" s="8">
        <f>98+1016</f>
        <v>1114</v>
      </c>
      <c r="Z33" s="8">
        <f>176+809</f>
        <v>985</v>
      </c>
      <c r="AA33" s="8">
        <f>69+737</f>
        <v>806</v>
      </c>
      <c r="AB33" s="8">
        <v>8</v>
      </c>
      <c r="AC33" s="8">
        <f>113+455</f>
        <v>568</v>
      </c>
      <c r="AD33" s="8">
        <v>1</v>
      </c>
      <c r="AE33" s="8">
        <v>354</v>
      </c>
      <c r="AF33" s="8">
        <v>0</v>
      </c>
      <c r="AG33" s="8">
        <v>0</v>
      </c>
      <c r="AH33" s="8">
        <v>0</v>
      </c>
      <c r="AI33" s="8">
        <v>0</v>
      </c>
      <c r="AJ33" s="8">
        <v>0</v>
      </c>
      <c r="AK33" s="8">
        <f>159+30</f>
        <v>189</v>
      </c>
      <c r="AL33" s="8">
        <v>7</v>
      </c>
      <c r="AM33" s="8">
        <f>17+26</f>
        <v>43</v>
      </c>
      <c r="AN33" s="8">
        <v>3</v>
      </c>
      <c r="AO33" s="8">
        <f>1081+1134</f>
        <v>2215</v>
      </c>
      <c r="AP33" s="8">
        <v>0</v>
      </c>
      <c r="AQ33" s="8">
        <v>7</v>
      </c>
      <c r="AR33" s="8">
        <v>0</v>
      </c>
      <c r="AS33" s="8">
        <v>0</v>
      </c>
      <c r="AT33" s="8">
        <v>0</v>
      </c>
      <c r="AU33" s="8">
        <v>0</v>
      </c>
    </row>
    <row r="34" spans="1:47" x14ac:dyDescent="0.35">
      <c r="A34" s="23" t="s">
        <v>77</v>
      </c>
      <c r="B34" s="16">
        <v>59747</v>
      </c>
      <c r="C34" s="11">
        <v>23</v>
      </c>
      <c r="D34" s="11">
        <v>19</v>
      </c>
      <c r="E34" s="11">
        <v>11</v>
      </c>
      <c r="F34" s="11">
        <v>4</v>
      </c>
      <c r="G34" s="11">
        <v>2</v>
      </c>
      <c r="H34" s="11">
        <v>0</v>
      </c>
      <c r="I34" s="11">
        <v>2</v>
      </c>
      <c r="J34" s="12">
        <v>0</v>
      </c>
      <c r="K34" s="11">
        <v>0</v>
      </c>
      <c r="L34" s="11">
        <f t="shared" si="4"/>
        <v>19</v>
      </c>
      <c r="M34" s="11">
        <v>18</v>
      </c>
      <c r="N34" s="11">
        <v>1</v>
      </c>
      <c r="O34" s="11">
        <v>0</v>
      </c>
      <c r="P34" s="11">
        <f t="shared" si="2"/>
        <v>19</v>
      </c>
      <c r="Q34" s="11">
        <v>0</v>
      </c>
      <c r="R34" s="11">
        <v>0</v>
      </c>
      <c r="S34" s="11">
        <v>1</v>
      </c>
      <c r="T34" s="11">
        <v>12</v>
      </c>
      <c r="U34" s="11">
        <v>3</v>
      </c>
      <c r="V34" s="11">
        <v>0</v>
      </c>
      <c r="W34" s="11">
        <v>3</v>
      </c>
      <c r="X34" s="11">
        <f t="shared" si="3"/>
        <v>19</v>
      </c>
      <c r="Y34" s="11">
        <v>28</v>
      </c>
      <c r="Z34" s="11">
        <v>55</v>
      </c>
      <c r="AA34" s="11">
        <v>5</v>
      </c>
      <c r="AB34" s="11">
        <v>5</v>
      </c>
      <c r="AC34" s="11">
        <v>0</v>
      </c>
      <c r="AD34" s="11">
        <v>0</v>
      </c>
      <c r="AE34" s="11">
        <v>3</v>
      </c>
      <c r="AF34" s="11">
        <v>0</v>
      </c>
      <c r="AG34" s="11">
        <v>0</v>
      </c>
      <c r="AH34" s="11">
        <v>0</v>
      </c>
      <c r="AI34" s="11">
        <v>0</v>
      </c>
      <c r="AJ34" s="11">
        <v>0</v>
      </c>
      <c r="AK34" s="11">
        <v>18</v>
      </c>
      <c r="AL34" s="11">
        <v>0</v>
      </c>
      <c r="AM34" s="11">
        <v>0</v>
      </c>
      <c r="AN34" s="11">
        <v>0</v>
      </c>
      <c r="AO34" s="11">
        <v>0</v>
      </c>
      <c r="AP34" s="11">
        <v>2</v>
      </c>
      <c r="AQ34" s="11">
        <v>6</v>
      </c>
      <c r="AR34" s="11">
        <v>0</v>
      </c>
      <c r="AS34" s="11">
        <v>0</v>
      </c>
      <c r="AT34" s="11">
        <v>0</v>
      </c>
      <c r="AU34" s="11">
        <v>0</v>
      </c>
    </row>
    <row r="35" spans="1:47" x14ac:dyDescent="0.35">
      <c r="A35" s="23" t="s">
        <v>78</v>
      </c>
      <c r="B35" s="17">
        <v>307007</v>
      </c>
      <c r="C35" s="8">
        <f>1139+622</f>
        <v>1761</v>
      </c>
      <c r="D35" s="8">
        <f>625+784</f>
        <v>1409</v>
      </c>
      <c r="E35" s="8">
        <f>152+279</f>
        <v>431</v>
      </c>
      <c r="F35" s="8">
        <f>308+359</f>
        <v>667</v>
      </c>
      <c r="G35" s="8">
        <f>129+124</f>
        <v>253</v>
      </c>
      <c r="H35" s="8">
        <v>0</v>
      </c>
      <c r="I35" s="8">
        <v>18</v>
      </c>
      <c r="J35" s="9">
        <v>30</v>
      </c>
      <c r="K35" s="8">
        <v>10</v>
      </c>
      <c r="L35" s="41">
        <f t="shared" si="4"/>
        <v>1409</v>
      </c>
      <c r="M35" s="8">
        <f>496+475</f>
        <v>971</v>
      </c>
      <c r="N35" s="8">
        <f>129+309</f>
        <v>438</v>
      </c>
      <c r="O35" s="8">
        <v>0</v>
      </c>
      <c r="P35" s="8">
        <f t="shared" si="2"/>
        <v>1409</v>
      </c>
      <c r="Q35" s="8">
        <f>127+158</f>
        <v>285</v>
      </c>
      <c r="R35" s="8">
        <f>79+12</f>
        <v>91</v>
      </c>
      <c r="S35" s="8">
        <f>96+212</f>
        <v>308</v>
      </c>
      <c r="T35" s="8">
        <f>188+192</f>
        <v>380</v>
      </c>
      <c r="U35" s="8">
        <f>193+119</f>
        <v>312</v>
      </c>
      <c r="V35" s="8">
        <f>15+9</f>
        <v>24</v>
      </c>
      <c r="W35" s="8">
        <v>9</v>
      </c>
      <c r="X35" s="8">
        <f t="shared" si="3"/>
        <v>1409</v>
      </c>
      <c r="Y35" s="8">
        <f>1875+400</f>
        <v>2275</v>
      </c>
      <c r="Z35" s="8">
        <f>1250+1740</f>
        <v>2990</v>
      </c>
      <c r="AA35" s="8">
        <f>214+645</f>
        <v>859</v>
      </c>
      <c r="AB35" s="8">
        <f>14+39</f>
        <v>53</v>
      </c>
      <c r="AC35" s="8">
        <f>348+789</f>
        <v>1137</v>
      </c>
      <c r="AD35" s="8">
        <f>175+112</f>
        <v>287</v>
      </c>
      <c r="AE35" s="8">
        <f>267+800</f>
        <v>1067</v>
      </c>
      <c r="AF35" s="8">
        <v>66</v>
      </c>
      <c r="AG35" s="8">
        <v>47</v>
      </c>
      <c r="AH35" s="8">
        <v>21</v>
      </c>
      <c r="AI35" s="8">
        <v>25</v>
      </c>
      <c r="AJ35" s="8">
        <v>28</v>
      </c>
      <c r="AK35" s="8">
        <f>32+26</f>
        <v>58</v>
      </c>
      <c r="AL35" s="8">
        <v>13</v>
      </c>
      <c r="AM35" s="8">
        <f>24+48</f>
        <v>72</v>
      </c>
      <c r="AN35" s="8">
        <f>18+9</f>
        <v>27</v>
      </c>
      <c r="AO35" s="8">
        <f>8432+12177</f>
        <v>20609</v>
      </c>
      <c r="AP35" s="8">
        <f>74+62</f>
        <v>136</v>
      </c>
      <c r="AQ35" s="8">
        <f>68+94</f>
        <v>162</v>
      </c>
      <c r="AR35" s="8">
        <v>1</v>
      </c>
      <c r="AS35" s="8">
        <v>4</v>
      </c>
      <c r="AT35" s="8">
        <f>122+159</f>
        <v>281</v>
      </c>
      <c r="AU35" s="8">
        <f>179+172</f>
        <v>351</v>
      </c>
    </row>
    <row r="36" spans="1:47" x14ac:dyDescent="0.35">
      <c r="A36" s="23" t="s">
        <v>79</v>
      </c>
      <c r="B36" s="16">
        <v>53156</v>
      </c>
      <c r="C36" s="11">
        <f>55+38</f>
        <v>93</v>
      </c>
      <c r="D36" s="11">
        <f>158+140</f>
        <v>298</v>
      </c>
      <c r="E36" s="11">
        <f>64+52</f>
        <v>116</v>
      </c>
      <c r="F36" s="11">
        <f>88+75</f>
        <v>163</v>
      </c>
      <c r="G36" s="11">
        <v>16</v>
      </c>
      <c r="H36" s="11">
        <v>0</v>
      </c>
      <c r="I36" s="11">
        <v>0</v>
      </c>
      <c r="J36" s="12">
        <v>0</v>
      </c>
      <c r="K36" s="11">
        <v>3</v>
      </c>
      <c r="L36" s="11">
        <f t="shared" si="4"/>
        <v>298</v>
      </c>
      <c r="M36" s="11">
        <f>148+122</f>
        <v>270</v>
      </c>
      <c r="N36" s="11">
        <v>28</v>
      </c>
      <c r="O36" s="11">
        <v>0</v>
      </c>
      <c r="P36" s="11">
        <f t="shared" si="2"/>
        <v>298</v>
      </c>
      <c r="Q36" s="11">
        <v>2</v>
      </c>
      <c r="R36" s="11">
        <v>1</v>
      </c>
      <c r="S36" s="11">
        <v>52</v>
      </c>
      <c r="T36" s="11">
        <f>91+83</f>
        <v>174</v>
      </c>
      <c r="U36" s="11">
        <f>29+27</f>
        <v>56</v>
      </c>
      <c r="V36" s="11">
        <v>13</v>
      </c>
      <c r="W36" s="11">
        <v>0</v>
      </c>
      <c r="X36" s="11">
        <f t="shared" si="3"/>
        <v>298</v>
      </c>
      <c r="Y36" s="11">
        <f>525+403</f>
        <v>928</v>
      </c>
      <c r="Z36" s="11">
        <f>256+247</f>
        <v>503</v>
      </c>
      <c r="AA36" s="11">
        <f>319+284</f>
        <v>603</v>
      </c>
      <c r="AB36" s="11">
        <v>21</v>
      </c>
      <c r="AC36" s="11">
        <v>68</v>
      </c>
      <c r="AD36" s="11">
        <v>0</v>
      </c>
      <c r="AE36" s="11">
        <f>108+137</f>
        <v>245</v>
      </c>
      <c r="AF36" s="11">
        <v>2</v>
      </c>
      <c r="AG36" s="11">
        <v>0</v>
      </c>
      <c r="AH36" s="11">
        <v>3</v>
      </c>
      <c r="AI36" s="11">
        <v>6</v>
      </c>
      <c r="AJ36" s="11">
        <v>2</v>
      </c>
      <c r="AK36" s="11">
        <v>60</v>
      </c>
      <c r="AL36" s="11">
        <v>20</v>
      </c>
      <c r="AM36" s="11">
        <f>13+19</f>
        <v>32</v>
      </c>
      <c r="AN36" s="11">
        <v>3</v>
      </c>
      <c r="AO36" s="11">
        <f>3428+2790</f>
        <v>6218</v>
      </c>
      <c r="AP36" s="11">
        <f>25+29</f>
        <v>54</v>
      </c>
      <c r="AQ36" s="11">
        <f>46+37</f>
        <v>83</v>
      </c>
      <c r="AR36" s="11">
        <v>0</v>
      </c>
      <c r="AS36" s="11">
        <v>3</v>
      </c>
      <c r="AT36" s="11">
        <v>0</v>
      </c>
      <c r="AU36" s="11">
        <v>0</v>
      </c>
    </row>
    <row r="37" spans="1:47" x14ac:dyDescent="0.35">
      <c r="A37" s="23" t="s">
        <v>197</v>
      </c>
      <c r="B37" s="17">
        <v>373625</v>
      </c>
      <c r="C37" s="8">
        <f>420+557</f>
        <v>977</v>
      </c>
      <c r="D37" s="8">
        <f>537+522</f>
        <v>1059</v>
      </c>
      <c r="E37" s="8">
        <f>233+221</f>
        <v>454</v>
      </c>
      <c r="F37" s="8">
        <f>230+215</f>
        <v>445</v>
      </c>
      <c r="G37" s="8">
        <v>100</v>
      </c>
      <c r="H37" s="14">
        <v>1</v>
      </c>
      <c r="I37" s="8">
        <v>7</v>
      </c>
      <c r="J37" s="9">
        <v>14</v>
      </c>
      <c r="K37" s="8">
        <v>38</v>
      </c>
      <c r="L37" s="41">
        <f t="shared" si="4"/>
        <v>1059</v>
      </c>
      <c r="M37" s="8">
        <f>453+441</f>
        <v>894</v>
      </c>
      <c r="N37" s="8">
        <f>84+81</f>
        <v>165</v>
      </c>
      <c r="O37" s="8">
        <v>0</v>
      </c>
      <c r="P37" s="8">
        <f t="shared" si="2"/>
        <v>1059</v>
      </c>
      <c r="Q37" s="8">
        <f>19+9</f>
        <v>28</v>
      </c>
      <c r="R37" s="8">
        <v>20</v>
      </c>
      <c r="S37" s="8">
        <f>89+95</f>
        <v>184</v>
      </c>
      <c r="T37" s="8">
        <f>235+246</f>
        <v>481</v>
      </c>
      <c r="U37" s="8">
        <f>156+131</f>
        <v>287</v>
      </c>
      <c r="V37" s="8">
        <f>27+24</f>
        <v>51</v>
      </c>
      <c r="W37" s="8">
        <v>8</v>
      </c>
      <c r="X37" s="8">
        <f t="shared" si="3"/>
        <v>1059</v>
      </c>
      <c r="Y37" s="8">
        <f>505+1552</f>
        <v>2057</v>
      </c>
      <c r="Z37" s="8">
        <f>774+401</f>
        <v>1175</v>
      </c>
      <c r="AA37" s="8">
        <f>1114+1132</f>
        <v>2246</v>
      </c>
      <c r="AB37" s="8">
        <f>42+865</f>
        <v>907</v>
      </c>
      <c r="AC37" s="8">
        <f>165+453</f>
        <v>618</v>
      </c>
      <c r="AD37" s="8">
        <v>0</v>
      </c>
      <c r="AE37" s="8">
        <f>1056+1013</f>
        <v>2069</v>
      </c>
      <c r="AF37" s="8">
        <v>27</v>
      </c>
      <c r="AG37" s="8">
        <v>6</v>
      </c>
      <c r="AH37" s="8">
        <v>23</v>
      </c>
      <c r="AI37" s="8">
        <v>23</v>
      </c>
      <c r="AJ37" s="8">
        <v>56</v>
      </c>
      <c r="AK37" s="8">
        <f>79+75</f>
        <v>154</v>
      </c>
      <c r="AL37" s="8">
        <f>24+16</f>
        <v>40</v>
      </c>
      <c r="AM37" s="8">
        <f>13+26</f>
        <v>39</v>
      </c>
      <c r="AN37" s="8">
        <v>6</v>
      </c>
      <c r="AO37" s="8">
        <f>1914+1645</f>
        <v>3559</v>
      </c>
      <c r="AP37" s="8">
        <v>84</v>
      </c>
      <c r="AQ37" s="8">
        <f>42+56</f>
        <v>98</v>
      </c>
      <c r="AR37" s="8">
        <v>3</v>
      </c>
      <c r="AS37" s="8">
        <v>5</v>
      </c>
      <c r="AT37" s="8">
        <f>78+375</f>
        <v>453</v>
      </c>
      <c r="AU37" s="8">
        <f>117+88</f>
        <v>205</v>
      </c>
    </row>
    <row r="38" spans="1:47" x14ac:dyDescent="0.35">
      <c r="A38" s="23" t="s">
        <v>80</v>
      </c>
      <c r="B38" s="10"/>
      <c r="C38" s="11">
        <f>1078+909</f>
        <v>1987</v>
      </c>
      <c r="D38" s="11">
        <f>43+32</f>
        <v>75</v>
      </c>
      <c r="E38" s="11">
        <v>28</v>
      </c>
      <c r="F38" s="11">
        <v>27</v>
      </c>
      <c r="G38" s="11">
        <v>17</v>
      </c>
      <c r="H38" s="11">
        <v>0</v>
      </c>
      <c r="I38" s="11">
        <v>0</v>
      </c>
      <c r="J38" s="12">
        <v>0</v>
      </c>
      <c r="K38" s="11">
        <v>3</v>
      </c>
      <c r="L38" s="11">
        <f t="shared" si="4"/>
        <v>75</v>
      </c>
      <c r="M38" s="11">
        <f>32+28</f>
        <v>60</v>
      </c>
      <c r="N38" s="11">
        <v>15</v>
      </c>
      <c r="O38" s="11">
        <v>0</v>
      </c>
      <c r="P38" s="11">
        <f t="shared" si="2"/>
        <v>75</v>
      </c>
      <c r="Q38" s="11">
        <v>21</v>
      </c>
      <c r="R38" s="11">
        <v>3</v>
      </c>
      <c r="S38" s="11">
        <v>8</v>
      </c>
      <c r="T38" s="11">
        <v>18</v>
      </c>
      <c r="U38" s="11">
        <v>24</v>
      </c>
      <c r="V38" s="11">
        <v>1</v>
      </c>
      <c r="W38" s="11">
        <v>0</v>
      </c>
      <c r="X38" s="11">
        <f t="shared" si="3"/>
        <v>75</v>
      </c>
      <c r="Y38" s="11">
        <f>798+233</f>
        <v>1031</v>
      </c>
      <c r="Z38" s="11">
        <f>150+64</f>
        <v>214</v>
      </c>
      <c r="AA38" s="11">
        <f>467+559</f>
        <v>1026</v>
      </c>
      <c r="AB38" s="11">
        <f>260+270</f>
        <v>530</v>
      </c>
      <c r="AC38" s="11">
        <v>17</v>
      </c>
      <c r="AD38" s="11">
        <v>17</v>
      </c>
      <c r="AE38" s="11">
        <v>16</v>
      </c>
      <c r="AF38" s="11">
        <v>0</v>
      </c>
      <c r="AG38" s="11">
        <v>0</v>
      </c>
      <c r="AH38" s="11">
        <v>0</v>
      </c>
      <c r="AI38" s="11">
        <v>0</v>
      </c>
      <c r="AJ38" s="11">
        <v>0</v>
      </c>
      <c r="AK38" s="11">
        <f>19+8</f>
        <v>27</v>
      </c>
      <c r="AL38" s="11">
        <v>0</v>
      </c>
      <c r="AM38" s="11">
        <v>18</v>
      </c>
      <c r="AN38" s="11">
        <v>0</v>
      </c>
      <c r="AO38" s="11">
        <f>3713+6644</f>
        <v>10357</v>
      </c>
      <c r="AP38" s="11">
        <v>25</v>
      </c>
      <c r="AQ38" s="11">
        <f>31+15</f>
        <v>46</v>
      </c>
      <c r="AR38" s="11">
        <v>0</v>
      </c>
      <c r="AS38" s="11">
        <v>5</v>
      </c>
      <c r="AT38" s="11">
        <f>437+186</f>
        <v>623</v>
      </c>
      <c r="AU38" s="11">
        <f>146+128</f>
        <v>274</v>
      </c>
    </row>
    <row r="39" spans="1:47" x14ac:dyDescent="0.35">
      <c r="A39" s="23" t="s">
        <v>82</v>
      </c>
      <c r="B39" s="17">
        <v>66643</v>
      </c>
      <c r="C39" s="8">
        <f>138+133</f>
        <v>271</v>
      </c>
      <c r="D39" s="8">
        <f>273+279</f>
        <v>552</v>
      </c>
      <c r="E39" s="8">
        <f>94+86</f>
        <v>180</v>
      </c>
      <c r="F39" s="8">
        <f>53+91</f>
        <v>144</v>
      </c>
      <c r="G39" s="8">
        <f>24+31</f>
        <v>55</v>
      </c>
      <c r="H39" s="8">
        <v>0</v>
      </c>
      <c r="I39" s="8">
        <v>5</v>
      </c>
      <c r="J39" s="9">
        <f>96+64</f>
        <v>160</v>
      </c>
      <c r="K39" s="8">
        <v>8</v>
      </c>
      <c r="L39" s="41">
        <f t="shared" si="4"/>
        <v>552</v>
      </c>
      <c r="M39" s="8">
        <f>242+252</f>
        <v>494</v>
      </c>
      <c r="N39" s="8">
        <f>31+27</f>
        <v>58</v>
      </c>
      <c r="O39" s="8">
        <v>0</v>
      </c>
      <c r="P39" s="8">
        <f t="shared" si="2"/>
        <v>552</v>
      </c>
      <c r="Q39" s="8">
        <f>7+17</f>
        <v>24</v>
      </c>
      <c r="R39" s="8">
        <v>13</v>
      </c>
      <c r="S39" s="8">
        <v>56</v>
      </c>
      <c r="T39" s="8">
        <f>173+150</f>
        <v>323</v>
      </c>
      <c r="U39" s="8">
        <v>54</v>
      </c>
      <c r="V39" s="8">
        <v>13</v>
      </c>
      <c r="W39" s="8">
        <v>69</v>
      </c>
      <c r="X39" s="8">
        <f t="shared" si="3"/>
        <v>552</v>
      </c>
      <c r="Y39" s="8">
        <f>140+166</f>
        <v>306</v>
      </c>
      <c r="Z39" s="8">
        <f>689+46</f>
        <v>735</v>
      </c>
      <c r="AA39" s="8">
        <f>140+114</f>
        <v>254</v>
      </c>
      <c r="AB39" s="8">
        <v>6</v>
      </c>
      <c r="AC39" s="8">
        <v>610</v>
      </c>
      <c r="AD39" s="8">
        <v>0</v>
      </c>
      <c r="AE39" s="8">
        <f>222+190</f>
        <v>412</v>
      </c>
      <c r="AF39" s="8">
        <v>12</v>
      </c>
      <c r="AG39" s="8">
        <v>3</v>
      </c>
      <c r="AH39" s="8">
        <v>11</v>
      </c>
      <c r="AI39" s="8">
        <v>10</v>
      </c>
      <c r="AJ39" s="8">
        <v>0</v>
      </c>
      <c r="AK39" s="8">
        <v>34</v>
      </c>
      <c r="AL39" s="8">
        <v>28</v>
      </c>
      <c r="AM39" s="8">
        <v>21</v>
      </c>
      <c r="AN39" s="8">
        <v>3</v>
      </c>
      <c r="AO39" s="8">
        <f>40+104</f>
        <v>144</v>
      </c>
      <c r="AP39" s="8">
        <v>36</v>
      </c>
      <c r="AQ39" s="8">
        <v>38</v>
      </c>
      <c r="AR39" s="8">
        <v>1</v>
      </c>
      <c r="AS39" s="8">
        <v>0</v>
      </c>
      <c r="AT39" s="8">
        <v>25</v>
      </c>
      <c r="AU39" s="8">
        <f>72+20</f>
        <v>92</v>
      </c>
    </row>
    <row r="40" spans="1:47" x14ac:dyDescent="0.35">
      <c r="A40" s="23" t="s">
        <v>83</v>
      </c>
      <c r="B40" s="16">
        <v>218754</v>
      </c>
      <c r="C40" s="11">
        <f>639+503</f>
        <v>1142</v>
      </c>
      <c r="D40" s="11">
        <f>106+108</f>
        <v>214</v>
      </c>
      <c r="E40" s="11">
        <f>57+39</f>
        <v>96</v>
      </c>
      <c r="F40" s="11">
        <f>44+55</f>
        <v>99</v>
      </c>
      <c r="G40" s="11">
        <v>6</v>
      </c>
      <c r="H40" s="11">
        <v>0</v>
      </c>
      <c r="I40" s="11">
        <v>0</v>
      </c>
      <c r="J40" s="12">
        <v>0</v>
      </c>
      <c r="K40" s="11">
        <v>13</v>
      </c>
      <c r="L40" s="11">
        <f t="shared" si="4"/>
        <v>214</v>
      </c>
      <c r="M40" s="11">
        <f>72+77</f>
        <v>149</v>
      </c>
      <c r="N40" s="11">
        <f>34+31</f>
        <v>65</v>
      </c>
      <c r="O40" s="11">
        <v>0</v>
      </c>
      <c r="P40" s="11">
        <f t="shared" si="2"/>
        <v>214</v>
      </c>
      <c r="Q40" s="11">
        <v>96</v>
      </c>
      <c r="R40" s="11">
        <v>7</v>
      </c>
      <c r="S40" s="11">
        <v>20</v>
      </c>
      <c r="T40" s="11">
        <v>51</v>
      </c>
      <c r="U40" s="11">
        <v>39</v>
      </c>
      <c r="V40" s="11">
        <v>0</v>
      </c>
      <c r="W40" s="11">
        <v>1</v>
      </c>
      <c r="X40" s="11">
        <f t="shared" si="3"/>
        <v>214</v>
      </c>
      <c r="Y40" s="11">
        <f>1869+2740</f>
        <v>4609</v>
      </c>
      <c r="Z40" s="11">
        <f>3225+2740</f>
        <v>5965</v>
      </c>
      <c r="AA40" s="11">
        <f>1289+1198</f>
        <v>2487</v>
      </c>
      <c r="AB40" s="11">
        <f>965+573</f>
        <v>1538</v>
      </c>
      <c r="AC40" s="11">
        <f>98+50</f>
        <v>148</v>
      </c>
      <c r="AD40" s="11">
        <v>0</v>
      </c>
      <c r="AE40" s="11">
        <v>11</v>
      </c>
      <c r="AF40" s="11">
        <v>0</v>
      </c>
      <c r="AG40" s="11">
        <v>4</v>
      </c>
      <c r="AH40" s="11">
        <v>32</v>
      </c>
      <c r="AI40" s="11">
        <v>12</v>
      </c>
      <c r="AJ40" s="11">
        <v>0</v>
      </c>
      <c r="AK40" s="11">
        <f>29+24</f>
        <v>53</v>
      </c>
      <c r="AL40" s="11">
        <v>3</v>
      </c>
      <c r="AM40" s="11">
        <v>21</v>
      </c>
      <c r="AN40" s="11">
        <v>19</v>
      </c>
      <c r="AO40" s="11">
        <f>348+149</f>
        <v>497</v>
      </c>
      <c r="AP40" s="11">
        <f>52+55</f>
        <v>107</v>
      </c>
      <c r="AQ40" s="11">
        <f>58+53</f>
        <v>111</v>
      </c>
      <c r="AR40" s="11">
        <v>0</v>
      </c>
      <c r="AS40" s="11">
        <v>11</v>
      </c>
      <c r="AT40" s="11">
        <v>6</v>
      </c>
      <c r="AU40" s="11">
        <f>123+151</f>
        <v>274</v>
      </c>
    </row>
    <row r="41" spans="1:47" x14ac:dyDescent="0.35">
      <c r="A41" s="23" t="s">
        <v>84</v>
      </c>
      <c r="B41" s="17">
        <v>12043</v>
      </c>
      <c r="C41" s="8">
        <f>19+22</f>
        <v>41</v>
      </c>
      <c r="D41" s="8">
        <v>33</v>
      </c>
      <c r="E41" s="8">
        <v>23</v>
      </c>
      <c r="F41" s="8">
        <v>9</v>
      </c>
      <c r="G41" s="8">
        <v>0</v>
      </c>
      <c r="H41" s="8">
        <v>0</v>
      </c>
      <c r="I41" s="8">
        <v>0</v>
      </c>
      <c r="J41" s="9">
        <v>0</v>
      </c>
      <c r="K41" s="8">
        <v>1</v>
      </c>
      <c r="L41" s="41">
        <f t="shared" si="4"/>
        <v>33</v>
      </c>
      <c r="M41" s="8">
        <v>28</v>
      </c>
      <c r="N41" s="8">
        <v>5</v>
      </c>
      <c r="O41" s="8">
        <v>0</v>
      </c>
      <c r="P41" s="8">
        <f t="shared" si="2"/>
        <v>33</v>
      </c>
      <c r="Q41" s="8">
        <v>5</v>
      </c>
      <c r="R41" s="8">
        <v>1</v>
      </c>
      <c r="S41" s="8">
        <v>2</v>
      </c>
      <c r="T41" s="8">
        <v>13</v>
      </c>
      <c r="U41" s="8">
        <v>6</v>
      </c>
      <c r="V41" s="8">
        <v>6</v>
      </c>
      <c r="W41" s="8">
        <v>0</v>
      </c>
      <c r="X41" s="8">
        <f t="shared" si="3"/>
        <v>33</v>
      </c>
      <c r="Y41" s="8">
        <f>36+60</f>
        <v>96</v>
      </c>
      <c r="Z41" s="8">
        <v>31</v>
      </c>
      <c r="AA41" s="8">
        <f>24+39</f>
        <v>63</v>
      </c>
      <c r="AB41" s="8">
        <v>1</v>
      </c>
      <c r="AC41" s="8">
        <f>38+53</f>
        <v>91</v>
      </c>
      <c r="AD41" s="8">
        <v>0</v>
      </c>
      <c r="AE41" s="8">
        <f>43+43</f>
        <v>86</v>
      </c>
      <c r="AF41" s="8">
        <v>0</v>
      </c>
      <c r="AG41" s="8">
        <v>0</v>
      </c>
      <c r="AH41" s="8">
        <v>0</v>
      </c>
      <c r="AI41" s="8">
        <v>0</v>
      </c>
      <c r="AJ41" s="8">
        <v>0</v>
      </c>
      <c r="AK41" s="8">
        <v>27</v>
      </c>
      <c r="AL41" s="8">
        <v>29</v>
      </c>
      <c r="AM41" s="8">
        <v>16</v>
      </c>
      <c r="AN41" s="8">
        <v>0</v>
      </c>
      <c r="AO41" s="8">
        <f>84+70</f>
        <v>154</v>
      </c>
      <c r="AP41" s="8">
        <v>0</v>
      </c>
      <c r="AQ41" s="8">
        <v>0</v>
      </c>
      <c r="AR41" s="8">
        <v>0</v>
      </c>
      <c r="AS41" s="8">
        <v>1</v>
      </c>
      <c r="AT41" s="8">
        <v>0</v>
      </c>
      <c r="AU41" s="8">
        <v>0</v>
      </c>
    </row>
    <row r="42" spans="1:47" x14ac:dyDescent="0.35">
      <c r="A42" s="23" t="s">
        <v>85</v>
      </c>
      <c r="B42" s="18"/>
      <c r="C42" s="11">
        <v>44</v>
      </c>
      <c r="D42" s="11">
        <v>66</v>
      </c>
      <c r="E42" s="11">
        <v>35</v>
      </c>
      <c r="F42" s="11">
        <v>31</v>
      </c>
      <c r="G42" s="11">
        <v>0</v>
      </c>
      <c r="H42" s="11">
        <v>0</v>
      </c>
      <c r="I42" s="11">
        <v>0</v>
      </c>
      <c r="J42" s="12">
        <v>0</v>
      </c>
      <c r="K42" s="11">
        <v>0</v>
      </c>
      <c r="L42" s="11">
        <f t="shared" si="4"/>
        <v>66</v>
      </c>
      <c r="M42" s="11">
        <v>57</v>
      </c>
      <c r="N42" s="11">
        <v>9</v>
      </c>
      <c r="O42" s="11">
        <v>0</v>
      </c>
      <c r="P42" s="11">
        <f t="shared" si="2"/>
        <v>66</v>
      </c>
      <c r="Q42" s="11">
        <v>0</v>
      </c>
      <c r="R42" s="11">
        <v>0</v>
      </c>
      <c r="S42" s="11">
        <v>20</v>
      </c>
      <c r="T42" s="11">
        <v>38</v>
      </c>
      <c r="U42" s="11">
        <v>6</v>
      </c>
      <c r="V42" s="11">
        <v>2</v>
      </c>
      <c r="W42" s="11">
        <v>0</v>
      </c>
      <c r="X42" s="11">
        <f t="shared" si="3"/>
        <v>66</v>
      </c>
      <c r="Y42" s="11">
        <v>80</v>
      </c>
      <c r="Z42" s="11">
        <v>68</v>
      </c>
      <c r="AA42" s="11">
        <v>65</v>
      </c>
      <c r="AB42" s="11">
        <v>3</v>
      </c>
      <c r="AC42" s="11">
        <v>2</v>
      </c>
      <c r="AD42" s="11">
        <v>0</v>
      </c>
      <c r="AE42" s="11">
        <v>66</v>
      </c>
      <c r="AF42" s="11">
        <v>6</v>
      </c>
      <c r="AG42" s="11">
        <v>2</v>
      </c>
      <c r="AH42" s="11">
        <v>2</v>
      </c>
      <c r="AI42" s="11">
        <v>2</v>
      </c>
      <c r="AJ42" s="11">
        <v>3</v>
      </c>
      <c r="AK42" s="11">
        <v>4</v>
      </c>
      <c r="AL42" s="11">
        <v>0</v>
      </c>
      <c r="AM42" s="11">
        <v>8</v>
      </c>
      <c r="AN42" s="11">
        <v>4</v>
      </c>
      <c r="AO42" s="11">
        <f>1355+1355</f>
        <v>2710</v>
      </c>
      <c r="AP42" s="11">
        <v>4</v>
      </c>
      <c r="AQ42" s="11">
        <v>6</v>
      </c>
      <c r="AR42" s="11">
        <v>0</v>
      </c>
      <c r="AS42" s="11">
        <v>2</v>
      </c>
      <c r="AT42" s="11">
        <v>0</v>
      </c>
      <c r="AU42" s="11">
        <v>0</v>
      </c>
    </row>
    <row r="43" spans="1:47" x14ac:dyDescent="0.35">
      <c r="A43" s="23" t="s">
        <v>173</v>
      </c>
      <c r="B43" s="17">
        <v>8763</v>
      </c>
      <c r="C43" s="8"/>
      <c r="D43" s="8"/>
      <c r="E43" s="8"/>
      <c r="F43" s="8"/>
      <c r="G43" s="8"/>
      <c r="H43" s="8"/>
      <c r="I43" s="8"/>
      <c r="J43" s="9"/>
      <c r="K43" s="8"/>
      <c r="L43" s="41">
        <f t="shared" si="4"/>
        <v>0</v>
      </c>
      <c r="M43" s="8"/>
      <c r="N43" s="8"/>
      <c r="O43" s="8"/>
      <c r="P43" s="8">
        <f t="shared" si="2"/>
        <v>0</v>
      </c>
      <c r="Q43" s="8"/>
      <c r="R43" s="8"/>
      <c r="S43" s="8"/>
      <c r="T43" s="8"/>
      <c r="U43" s="8"/>
      <c r="V43" s="8"/>
      <c r="W43" s="8"/>
      <c r="X43" s="8">
        <f t="shared" si="3"/>
        <v>0</v>
      </c>
      <c r="Y43" s="8"/>
      <c r="Z43" s="8"/>
      <c r="AA43" s="8"/>
      <c r="AB43" s="8"/>
      <c r="AC43" s="8"/>
      <c r="AD43" s="8"/>
      <c r="AE43" s="8"/>
      <c r="AF43" s="8"/>
      <c r="AG43" s="8"/>
      <c r="AH43" s="8"/>
      <c r="AI43" s="8"/>
      <c r="AJ43" s="8"/>
      <c r="AK43" s="8"/>
      <c r="AL43" s="8"/>
      <c r="AM43" s="8"/>
      <c r="AN43" s="8"/>
      <c r="AO43" s="8"/>
      <c r="AP43" s="8"/>
      <c r="AQ43" s="8"/>
      <c r="AR43" s="8"/>
      <c r="AS43" s="8"/>
      <c r="AT43" s="8"/>
      <c r="AU43" s="8"/>
    </row>
    <row r="44" spans="1:47" x14ac:dyDescent="0.35">
      <c r="A44" s="23" t="s">
        <v>86</v>
      </c>
      <c r="B44" s="16">
        <v>60213</v>
      </c>
      <c r="C44" s="11">
        <f>151+259</f>
        <v>410</v>
      </c>
      <c r="D44" s="11">
        <f>275+192</f>
        <v>467</v>
      </c>
      <c r="E44" s="11">
        <f>123+87</f>
        <v>210</v>
      </c>
      <c r="F44" s="11">
        <f>83+60</f>
        <v>143</v>
      </c>
      <c r="G44" s="11">
        <f>49+41</f>
        <v>90</v>
      </c>
      <c r="H44" s="11">
        <v>0</v>
      </c>
      <c r="I44" s="11">
        <v>1</v>
      </c>
      <c r="J44" s="12">
        <v>7</v>
      </c>
      <c r="K44" s="11">
        <v>16</v>
      </c>
      <c r="L44" s="11">
        <f t="shared" si="4"/>
        <v>467</v>
      </c>
      <c r="M44" s="11">
        <f>219+190</f>
        <v>409</v>
      </c>
      <c r="N44" s="11">
        <v>48</v>
      </c>
      <c r="O44" s="11">
        <v>10</v>
      </c>
      <c r="P44" s="11">
        <f t="shared" si="2"/>
        <v>467</v>
      </c>
      <c r="Q44" s="11">
        <f>26+15</f>
        <v>41</v>
      </c>
      <c r="R44" s="11">
        <f>24+14</f>
        <v>38</v>
      </c>
      <c r="S44" s="11">
        <f>29+29</f>
        <v>58</v>
      </c>
      <c r="T44" s="11">
        <f>57+47</f>
        <v>104</v>
      </c>
      <c r="U44" s="11">
        <f>121+82</f>
        <v>203</v>
      </c>
      <c r="V44" s="11">
        <v>22</v>
      </c>
      <c r="W44" s="11">
        <v>1</v>
      </c>
      <c r="X44" s="11">
        <f t="shared" si="3"/>
        <v>467</v>
      </c>
      <c r="Y44" s="11">
        <f>352+284</f>
        <v>636</v>
      </c>
      <c r="Z44" s="11">
        <f>344+258</f>
        <v>602</v>
      </c>
      <c r="AA44" s="11">
        <f>99+67</f>
        <v>166</v>
      </c>
      <c r="AB44" s="11">
        <v>24</v>
      </c>
      <c r="AC44" s="11">
        <f>301+276</f>
        <v>577</v>
      </c>
      <c r="AD44" s="11">
        <v>5</v>
      </c>
      <c r="AE44" s="11">
        <f>230+238</f>
        <v>468</v>
      </c>
      <c r="AF44" s="11">
        <v>8</v>
      </c>
      <c r="AG44" s="11">
        <v>3</v>
      </c>
      <c r="AH44" s="11">
        <v>22</v>
      </c>
      <c r="AI44" s="11">
        <v>3</v>
      </c>
      <c r="AJ44" s="11">
        <v>5</v>
      </c>
      <c r="AK44" s="11">
        <f>16+13</f>
        <v>29</v>
      </c>
      <c r="AL44" s="11">
        <v>8</v>
      </c>
      <c r="AM44" s="11">
        <f>27+21</f>
        <v>48</v>
      </c>
      <c r="AN44" s="11">
        <v>29</v>
      </c>
      <c r="AO44" s="11">
        <f>377+430</f>
        <v>807</v>
      </c>
      <c r="AP44" s="11">
        <v>5</v>
      </c>
      <c r="AQ44" s="11">
        <v>5</v>
      </c>
      <c r="AR44" s="11">
        <v>1</v>
      </c>
      <c r="AS44" s="11">
        <v>21</v>
      </c>
      <c r="AT44" s="11">
        <v>0</v>
      </c>
      <c r="AU44" s="11">
        <v>0</v>
      </c>
    </row>
    <row r="45" spans="1:47" x14ac:dyDescent="0.35">
      <c r="A45" s="23" t="s">
        <v>87</v>
      </c>
      <c r="B45" s="19">
        <v>21356</v>
      </c>
      <c r="C45" s="8">
        <f>63+57</f>
        <v>120</v>
      </c>
      <c r="D45" s="8">
        <f>74+44</f>
        <v>118</v>
      </c>
      <c r="E45" s="8">
        <f>41+13</f>
        <v>54</v>
      </c>
      <c r="F45" s="8">
        <f>29+26</f>
        <v>55</v>
      </c>
      <c r="G45" s="8">
        <v>9</v>
      </c>
      <c r="H45" s="8">
        <v>0</v>
      </c>
      <c r="I45" s="8">
        <v>0</v>
      </c>
      <c r="J45" s="9">
        <v>0</v>
      </c>
      <c r="K45" s="8">
        <v>0</v>
      </c>
      <c r="L45" s="41">
        <f t="shared" si="4"/>
        <v>118</v>
      </c>
      <c r="M45" s="8">
        <f>42+35</f>
        <v>77</v>
      </c>
      <c r="N45" s="8">
        <v>41</v>
      </c>
      <c r="O45" s="8">
        <v>0</v>
      </c>
      <c r="P45" s="8">
        <f t="shared" si="2"/>
        <v>118</v>
      </c>
      <c r="Q45" s="8">
        <f>36+16</f>
        <v>52</v>
      </c>
      <c r="R45" s="8">
        <v>10</v>
      </c>
      <c r="S45" s="8">
        <v>7</v>
      </c>
      <c r="T45" s="8">
        <v>28</v>
      </c>
      <c r="U45" s="8">
        <v>15</v>
      </c>
      <c r="V45" s="8">
        <v>6</v>
      </c>
      <c r="W45" s="8">
        <v>0</v>
      </c>
      <c r="X45" s="8">
        <f t="shared" si="3"/>
        <v>118</v>
      </c>
      <c r="Y45" s="8">
        <f>96+60</f>
        <v>156</v>
      </c>
      <c r="Z45" s="8">
        <f>74+45</f>
        <v>119</v>
      </c>
      <c r="AA45" s="8">
        <v>28</v>
      </c>
      <c r="AB45" s="8">
        <v>2</v>
      </c>
      <c r="AC45" s="8">
        <v>0</v>
      </c>
      <c r="AD45" s="8">
        <v>0</v>
      </c>
      <c r="AE45" s="8">
        <f>42+29</f>
        <v>71</v>
      </c>
      <c r="AF45" s="8">
        <v>0</v>
      </c>
      <c r="AG45" s="8">
        <v>2</v>
      </c>
      <c r="AH45" s="8">
        <v>7</v>
      </c>
      <c r="AI45" s="8">
        <v>0</v>
      </c>
      <c r="AJ45" s="8">
        <v>1</v>
      </c>
      <c r="AK45" s="8">
        <v>26</v>
      </c>
      <c r="AL45" s="8">
        <v>0</v>
      </c>
      <c r="AM45" s="8">
        <v>13</v>
      </c>
      <c r="AN45" s="8">
        <v>11</v>
      </c>
      <c r="AO45" s="8">
        <f>325+120</f>
        <v>445</v>
      </c>
      <c r="AP45" s="8">
        <v>26</v>
      </c>
      <c r="AQ45" s="8">
        <v>20</v>
      </c>
      <c r="AR45" s="8">
        <v>0</v>
      </c>
      <c r="AS45" s="8">
        <v>0</v>
      </c>
      <c r="AT45" s="8">
        <v>0</v>
      </c>
      <c r="AU45" s="8">
        <v>12</v>
      </c>
    </row>
    <row r="46" spans="1:47" x14ac:dyDescent="0.35">
      <c r="A46" s="23" t="s">
        <v>88</v>
      </c>
      <c r="B46" s="16">
        <v>527922</v>
      </c>
      <c r="C46" s="11">
        <f>1088+895</f>
        <v>1983</v>
      </c>
      <c r="D46" s="11">
        <f>1809+2492</f>
        <v>4301</v>
      </c>
      <c r="E46" s="11">
        <f>731+1007</f>
        <v>1738</v>
      </c>
      <c r="F46" s="11">
        <f>920+1264</f>
        <v>2184</v>
      </c>
      <c r="G46" s="11">
        <f>85+119</f>
        <v>204</v>
      </c>
      <c r="H46" s="11">
        <f>9+13</f>
        <v>22</v>
      </c>
      <c r="I46" s="11">
        <f>27+35</f>
        <v>62</v>
      </c>
      <c r="J46" s="12">
        <f>18+38</f>
        <v>56</v>
      </c>
      <c r="K46" s="11">
        <f>19+16</f>
        <v>35</v>
      </c>
      <c r="L46" s="11">
        <f t="shared" si="4"/>
        <v>4301</v>
      </c>
      <c r="M46" s="11">
        <f>1615+2245</f>
        <v>3860</v>
      </c>
      <c r="N46" s="11">
        <f>194+247</f>
        <v>441</v>
      </c>
      <c r="O46" s="11">
        <v>0</v>
      </c>
      <c r="P46" s="11">
        <f t="shared" si="2"/>
        <v>4301</v>
      </c>
      <c r="Q46" s="11">
        <f>22+32</f>
        <v>54</v>
      </c>
      <c r="R46" s="11">
        <v>7</v>
      </c>
      <c r="S46" s="11">
        <f>385+472</f>
        <v>857</v>
      </c>
      <c r="T46" s="11">
        <f>804+1148</f>
        <v>1952</v>
      </c>
      <c r="U46" s="11">
        <v>1099</v>
      </c>
      <c r="V46" s="11">
        <f>73+113</f>
        <v>186</v>
      </c>
      <c r="W46" s="11">
        <f>56+90</f>
        <v>146</v>
      </c>
      <c r="X46" s="11">
        <f t="shared" si="3"/>
        <v>4301</v>
      </c>
      <c r="Y46" s="11">
        <f>1187+2492</f>
        <v>3679</v>
      </c>
      <c r="Z46" s="11">
        <f>2072+3508</f>
        <v>5580</v>
      </c>
      <c r="AA46" s="11">
        <f>707+1040</f>
        <v>1747</v>
      </c>
      <c r="AB46" s="11">
        <f>309+24</f>
        <v>333</v>
      </c>
      <c r="AC46" s="11">
        <f>205+253</f>
        <v>458</v>
      </c>
      <c r="AD46" s="11">
        <f>1320+6</f>
        <v>1326</v>
      </c>
      <c r="AE46" s="11">
        <f>1260+3131</f>
        <v>4391</v>
      </c>
      <c r="AF46" s="11">
        <v>0</v>
      </c>
      <c r="AG46" s="11">
        <v>0</v>
      </c>
      <c r="AH46" s="11">
        <f>66+47</f>
        <v>113</v>
      </c>
      <c r="AI46" s="11">
        <v>0</v>
      </c>
      <c r="AJ46" s="11">
        <v>0</v>
      </c>
      <c r="AK46" s="11">
        <f>42+59</f>
        <v>101</v>
      </c>
      <c r="AL46" s="11">
        <v>0</v>
      </c>
      <c r="AM46" s="11">
        <v>35</v>
      </c>
      <c r="AN46" s="11">
        <v>12</v>
      </c>
      <c r="AO46" s="11">
        <f>162+172</f>
        <v>334</v>
      </c>
      <c r="AP46" s="11">
        <f>61+38</f>
        <v>99</v>
      </c>
      <c r="AQ46" s="11">
        <f>60+38</f>
        <v>98</v>
      </c>
      <c r="AR46" s="11">
        <v>0</v>
      </c>
      <c r="AS46" s="11">
        <v>2</v>
      </c>
      <c r="AT46" s="11">
        <f>297+197</f>
        <v>494</v>
      </c>
      <c r="AU46" s="11">
        <f>69+37</f>
        <v>106</v>
      </c>
    </row>
    <row r="47" spans="1:47" x14ac:dyDescent="0.35">
      <c r="A47" s="23" t="s">
        <v>89</v>
      </c>
      <c r="B47" s="19"/>
      <c r="C47" s="8">
        <f>773+781</f>
        <v>1554</v>
      </c>
      <c r="D47" s="8">
        <f>959+1450</f>
        <v>2409</v>
      </c>
      <c r="E47" s="8">
        <f>316+487</f>
        <v>803</v>
      </c>
      <c r="F47" s="8">
        <f>531+807</f>
        <v>1338</v>
      </c>
      <c r="G47" s="8">
        <f>70+108</f>
        <v>178</v>
      </c>
      <c r="H47" s="8">
        <v>14</v>
      </c>
      <c r="I47" s="8">
        <v>38</v>
      </c>
      <c r="J47" s="9">
        <v>11</v>
      </c>
      <c r="K47" s="8">
        <v>27</v>
      </c>
      <c r="L47" s="41">
        <f t="shared" si="4"/>
        <v>2409</v>
      </c>
      <c r="M47" s="8">
        <f>829+1252</f>
        <v>2081</v>
      </c>
      <c r="N47" s="8">
        <f>130+198</f>
        <v>328</v>
      </c>
      <c r="O47" s="8">
        <v>0</v>
      </c>
      <c r="P47" s="8">
        <f t="shared" si="2"/>
        <v>2409</v>
      </c>
      <c r="Q47" s="8">
        <f>39+25</f>
        <v>64</v>
      </c>
      <c r="R47" s="8">
        <v>13</v>
      </c>
      <c r="S47" s="8">
        <v>506</v>
      </c>
      <c r="T47" s="8">
        <f>443+640</f>
        <v>1083</v>
      </c>
      <c r="U47" s="8">
        <f>232+335</f>
        <v>567</v>
      </c>
      <c r="V47" s="8">
        <f>39+64</f>
        <v>103</v>
      </c>
      <c r="W47" s="8">
        <v>73</v>
      </c>
      <c r="X47" s="8">
        <f t="shared" si="3"/>
        <v>2409</v>
      </c>
      <c r="Y47" s="8">
        <f>1736+1450</f>
        <v>3186</v>
      </c>
      <c r="Z47" s="8">
        <f>1882+3005</f>
        <v>4887</v>
      </c>
      <c r="AA47" s="8">
        <f>951+1594</f>
        <v>2545</v>
      </c>
      <c r="AB47" s="8">
        <f>302+27</f>
        <v>329</v>
      </c>
      <c r="AC47" s="8">
        <f>689+1121</f>
        <v>1810</v>
      </c>
      <c r="AD47" s="8">
        <v>85</v>
      </c>
      <c r="AE47" s="8">
        <f>809+716</f>
        <v>1525</v>
      </c>
      <c r="AF47" s="8">
        <v>0</v>
      </c>
      <c r="AG47" s="8">
        <v>0</v>
      </c>
      <c r="AH47" s="8">
        <f>66+31</f>
        <v>97</v>
      </c>
      <c r="AI47" s="8">
        <v>10</v>
      </c>
      <c r="AJ47" s="8">
        <v>10</v>
      </c>
      <c r="AK47" s="8">
        <f>28+43</f>
        <v>71</v>
      </c>
      <c r="AL47" s="8">
        <v>0</v>
      </c>
      <c r="AM47" s="8">
        <f>19+13</f>
        <v>32</v>
      </c>
      <c r="AN47" s="8">
        <v>0</v>
      </c>
      <c r="AO47" s="8">
        <v>24</v>
      </c>
      <c r="AP47" s="8">
        <f>60+29</f>
        <v>89</v>
      </c>
      <c r="AQ47" s="8">
        <f>57+64</f>
        <v>121</v>
      </c>
      <c r="AR47" s="8">
        <v>1</v>
      </c>
      <c r="AS47" s="8">
        <v>0</v>
      </c>
      <c r="AT47" s="8">
        <f>296+132</f>
        <v>428</v>
      </c>
      <c r="AU47" s="8">
        <f>44+29</f>
        <v>73</v>
      </c>
    </row>
    <row r="48" spans="1:47" x14ac:dyDescent="0.35">
      <c r="A48" s="23" t="s">
        <v>90</v>
      </c>
      <c r="B48" s="16">
        <v>52041</v>
      </c>
      <c r="C48" s="11">
        <v>202</v>
      </c>
      <c r="D48" s="11">
        <f>49+81</f>
        <v>130</v>
      </c>
      <c r="E48" s="11">
        <v>36</v>
      </c>
      <c r="F48" s="11">
        <f>36+53</f>
        <v>89</v>
      </c>
      <c r="G48" s="11">
        <v>1</v>
      </c>
      <c r="H48" s="11">
        <v>2</v>
      </c>
      <c r="I48" s="11">
        <v>2</v>
      </c>
      <c r="J48" s="12">
        <v>0</v>
      </c>
      <c r="K48" s="11">
        <v>0</v>
      </c>
      <c r="L48" s="11">
        <f t="shared" si="4"/>
        <v>130</v>
      </c>
      <c r="M48" s="11">
        <f>48+76</f>
        <v>124</v>
      </c>
      <c r="N48" s="11">
        <v>6</v>
      </c>
      <c r="O48" s="11">
        <v>0</v>
      </c>
      <c r="P48" s="11">
        <f t="shared" si="2"/>
        <v>130</v>
      </c>
      <c r="Q48" s="11">
        <v>18</v>
      </c>
      <c r="R48" s="11">
        <v>8</v>
      </c>
      <c r="S48" s="11">
        <v>9</v>
      </c>
      <c r="T48" s="11">
        <v>38</v>
      </c>
      <c r="U48" s="11">
        <f>47+8</f>
        <v>55</v>
      </c>
      <c r="V48" s="11">
        <v>2</v>
      </c>
      <c r="W48" s="11">
        <v>0</v>
      </c>
      <c r="X48" s="11">
        <f t="shared" si="3"/>
        <v>130</v>
      </c>
      <c r="Y48" s="11">
        <f>49+280</f>
        <v>329</v>
      </c>
      <c r="Z48" s="11">
        <f>49+45</f>
        <v>94</v>
      </c>
      <c r="AA48" s="11">
        <f>31+33</f>
        <v>64</v>
      </c>
      <c r="AB48" s="11">
        <f>102+61</f>
        <v>163</v>
      </c>
      <c r="AC48" s="11">
        <f>32+112</f>
        <v>144</v>
      </c>
      <c r="AD48" s="11">
        <v>9</v>
      </c>
      <c r="AE48" s="11">
        <f>37+42</f>
        <v>79</v>
      </c>
      <c r="AF48" s="11">
        <v>37</v>
      </c>
      <c r="AG48" s="11">
        <v>36</v>
      </c>
      <c r="AH48" s="11">
        <f>18+15</f>
        <v>33</v>
      </c>
      <c r="AI48" s="11">
        <v>30</v>
      </c>
      <c r="AJ48" s="11">
        <v>22</v>
      </c>
      <c r="AK48" s="11">
        <v>23</v>
      </c>
      <c r="AL48" s="11">
        <v>10</v>
      </c>
      <c r="AM48" s="11">
        <f>27+31</f>
        <v>58</v>
      </c>
      <c r="AN48" s="11">
        <v>4</v>
      </c>
      <c r="AO48" s="11">
        <f>1078+1124</f>
        <v>2202</v>
      </c>
      <c r="AP48" s="11">
        <f>17+7</f>
        <v>24</v>
      </c>
      <c r="AQ48" s="11">
        <f>32+12</f>
        <v>44</v>
      </c>
      <c r="AR48" s="11">
        <v>2</v>
      </c>
      <c r="AS48" s="11">
        <v>8</v>
      </c>
      <c r="AT48" s="11">
        <f>14+9</f>
        <v>23</v>
      </c>
      <c r="AU48" s="11">
        <v>77</v>
      </c>
    </row>
    <row r="49" spans="1:47" x14ac:dyDescent="0.35">
      <c r="A49" s="23" t="s">
        <v>91</v>
      </c>
      <c r="B49" s="17">
        <v>131645</v>
      </c>
      <c r="C49" s="8">
        <f>208+202</f>
        <v>410</v>
      </c>
      <c r="D49" s="8">
        <f>160+136</f>
        <v>296</v>
      </c>
      <c r="E49" s="8">
        <f>84+81</f>
        <v>165</v>
      </c>
      <c r="F49" s="8">
        <v>77</v>
      </c>
      <c r="G49" s="8">
        <v>35</v>
      </c>
      <c r="H49" s="8">
        <v>3</v>
      </c>
      <c r="I49" s="8">
        <v>3</v>
      </c>
      <c r="J49" s="9">
        <v>2</v>
      </c>
      <c r="K49" s="8">
        <v>11</v>
      </c>
      <c r="L49" s="41">
        <f t="shared" si="4"/>
        <v>296</v>
      </c>
      <c r="M49" s="8">
        <f>147+121</f>
        <v>268</v>
      </c>
      <c r="N49" s="8">
        <f>13+15</f>
        <v>28</v>
      </c>
      <c r="O49" s="8">
        <v>0</v>
      </c>
      <c r="P49" s="8">
        <f t="shared" si="2"/>
        <v>296</v>
      </c>
      <c r="Q49" s="8">
        <v>7</v>
      </c>
      <c r="R49" s="8">
        <v>6</v>
      </c>
      <c r="S49" s="8">
        <v>49</v>
      </c>
      <c r="T49" s="8">
        <f>65+64</f>
        <v>129</v>
      </c>
      <c r="U49" s="8">
        <f>48+44</f>
        <v>92</v>
      </c>
      <c r="V49" s="8">
        <v>11</v>
      </c>
      <c r="W49" s="8">
        <v>2</v>
      </c>
      <c r="X49" s="8">
        <f t="shared" si="3"/>
        <v>296</v>
      </c>
      <c r="Y49" s="8">
        <f>467+506</f>
        <v>973</v>
      </c>
      <c r="Z49" s="8">
        <f>1259+1159</f>
        <v>2418</v>
      </c>
      <c r="AA49" s="8">
        <f>351+375</f>
        <v>726</v>
      </c>
      <c r="AB49" s="8">
        <f>33+15</f>
        <v>48</v>
      </c>
      <c r="AC49" s="8">
        <f>137+140</f>
        <v>277</v>
      </c>
      <c r="AD49" s="8">
        <v>7</v>
      </c>
      <c r="AE49" s="8">
        <f>123+137</f>
        <v>260</v>
      </c>
      <c r="AF49" s="8">
        <f>32+41</f>
        <v>73</v>
      </c>
      <c r="AG49" s="8">
        <v>14</v>
      </c>
      <c r="AH49" s="8">
        <f>37+479</f>
        <v>516</v>
      </c>
      <c r="AI49" s="8">
        <v>0</v>
      </c>
      <c r="AJ49" s="8">
        <v>0</v>
      </c>
      <c r="AK49" s="8">
        <v>50</v>
      </c>
      <c r="AL49" s="8">
        <v>0</v>
      </c>
      <c r="AM49" s="8">
        <v>18</v>
      </c>
      <c r="AN49" s="8">
        <v>1</v>
      </c>
      <c r="AO49" s="8">
        <f>1091+668</f>
        <v>1759</v>
      </c>
      <c r="AP49" s="8">
        <f>18+29</f>
        <v>47</v>
      </c>
      <c r="AQ49" s="8">
        <v>49</v>
      </c>
      <c r="AR49" s="8">
        <v>1</v>
      </c>
      <c r="AS49" s="8">
        <v>1</v>
      </c>
      <c r="AT49" s="8">
        <v>6</v>
      </c>
      <c r="AU49" s="8">
        <f>98+61</f>
        <v>159</v>
      </c>
    </row>
    <row r="50" spans="1:47" x14ac:dyDescent="0.35">
      <c r="A50" s="23" t="s">
        <v>92</v>
      </c>
      <c r="B50" s="16">
        <v>62464</v>
      </c>
      <c r="C50" s="11">
        <f>183+204</f>
        <v>387</v>
      </c>
      <c r="D50" s="11">
        <f>147+173</f>
        <v>320</v>
      </c>
      <c r="E50" s="11">
        <f>140+168</f>
        <v>308</v>
      </c>
      <c r="F50" s="11">
        <v>5</v>
      </c>
      <c r="G50" s="11">
        <v>3</v>
      </c>
      <c r="H50" s="11">
        <v>2</v>
      </c>
      <c r="I50" s="11">
        <v>0</v>
      </c>
      <c r="J50" s="12">
        <v>1</v>
      </c>
      <c r="K50" s="11">
        <v>1</v>
      </c>
      <c r="L50" s="11">
        <f t="shared" si="4"/>
        <v>320</v>
      </c>
      <c r="M50" s="11">
        <f>135+158</f>
        <v>293</v>
      </c>
      <c r="N50" s="11">
        <v>27</v>
      </c>
      <c r="O50" s="11">
        <v>0</v>
      </c>
      <c r="P50" s="11">
        <f t="shared" si="2"/>
        <v>320</v>
      </c>
      <c r="Q50" s="11">
        <f>14+19</f>
        <v>33</v>
      </c>
      <c r="R50" s="11">
        <v>3</v>
      </c>
      <c r="S50" s="11">
        <f>29+29</f>
        <v>58</v>
      </c>
      <c r="T50" s="11">
        <f>65+76</f>
        <v>141</v>
      </c>
      <c r="U50" s="11">
        <f>33+41</f>
        <v>74</v>
      </c>
      <c r="V50" s="11">
        <v>10</v>
      </c>
      <c r="W50" s="11">
        <v>1</v>
      </c>
      <c r="X50" s="11">
        <f t="shared" si="3"/>
        <v>320</v>
      </c>
      <c r="Y50" s="11">
        <f>677+785</f>
        <v>1462</v>
      </c>
      <c r="Z50" s="11">
        <f>428+436</f>
        <v>864</v>
      </c>
      <c r="AA50" s="11">
        <f>72+117</f>
        <v>189</v>
      </c>
      <c r="AB50" s="11">
        <v>793</v>
      </c>
      <c r="AC50" s="11">
        <v>33</v>
      </c>
      <c r="AD50" s="11">
        <v>6</v>
      </c>
      <c r="AE50" s="11">
        <f>240+225</f>
        <v>465</v>
      </c>
      <c r="AF50" s="11">
        <v>84</v>
      </c>
      <c r="AG50" s="11">
        <v>66</v>
      </c>
      <c r="AH50" s="11">
        <f>89+89</f>
        <v>178</v>
      </c>
      <c r="AI50" s="11">
        <v>104</v>
      </c>
      <c r="AJ50" s="11">
        <f>61+61</f>
        <v>122</v>
      </c>
      <c r="AK50" s="11">
        <v>39</v>
      </c>
      <c r="AL50" s="11">
        <v>39</v>
      </c>
      <c r="AM50" s="11">
        <v>90</v>
      </c>
      <c r="AN50" s="11">
        <v>6</v>
      </c>
      <c r="AO50" s="11">
        <f>6066+5120</f>
        <v>11186</v>
      </c>
      <c r="AP50" s="11">
        <v>20</v>
      </c>
      <c r="AQ50" s="11">
        <v>27</v>
      </c>
      <c r="AR50" s="11">
        <v>0</v>
      </c>
      <c r="AS50" s="11">
        <v>2</v>
      </c>
      <c r="AT50" s="11">
        <v>11</v>
      </c>
      <c r="AU50" s="11">
        <f>170+47</f>
        <v>217</v>
      </c>
    </row>
    <row r="51" spans="1:47" x14ac:dyDescent="0.35">
      <c r="A51" s="23" t="s">
        <v>93</v>
      </c>
      <c r="B51" s="17">
        <v>115659</v>
      </c>
      <c r="C51" s="8">
        <f>238+369</f>
        <v>607</v>
      </c>
      <c r="D51" s="8">
        <f>544+642</f>
        <v>1186</v>
      </c>
      <c r="E51" s="8">
        <f>265+279</f>
        <v>544</v>
      </c>
      <c r="F51" s="8">
        <f>28+32</f>
        <v>60</v>
      </c>
      <c r="G51" s="8">
        <f>32+35</f>
        <v>67</v>
      </c>
      <c r="H51" s="8">
        <v>1</v>
      </c>
      <c r="I51" s="8">
        <v>4</v>
      </c>
      <c r="J51" s="9">
        <f>195+244</f>
        <v>439</v>
      </c>
      <c r="K51" s="8">
        <v>71</v>
      </c>
      <c r="L51" s="41">
        <f t="shared" si="4"/>
        <v>1186</v>
      </c>
      <c r="M51" s="8">
        <f>503+612</f>
        <v>1115</v>
      </c>
      <c r="N51" s="8">
        <f>41+30</f>
        <v>71</v>
      </c>
      <c r="O51" s="8">
        <v>0</v>
      </c>
      <c r="P51" s="8">
        <f t="shared" si="2"/>
        <v>1186</v>
      </c>
      <c r="Q51" s="8">
        <f>38+26</f>
        <v>64</v>
      </c>
      <c r="R51" s="8">
        <f>16+21</f>
        <v>37</v>
      </c>
      <c r="S51" s="8">
        <f>44+39</f>
        <v>83</v>
      </c>
      <c r="T51" s="8">
        <f>250+312</f>
        <v>562</v>
      </c>
      <c r="U51" s="8">
        <v>78</v>
      </c>
      <c r="V51" s="8">
        <v>14</v>
      </c>
      <c r="W51" s="8">
        <f>174+174</f>
        <v>348</v>
      </c>
      <c r="X51" s="8">
        <f t="shared" si="3"/>
        <v>1186</v>
      </c>
      <c r="Y51" s="8">
        <f>217+503</f>
        <v>720</v>
      </c>
      <c r="Z51" s="8">
        <f>216+294</f>
        <v>510</v>
      </c>
      <c r="AA51" s="8">
        <f>174+174</f>
        <v>348</v>
      </c>
      <c r="AB51" s="8">
        <v>40</v>
      </c>
      <c r="AC51" s="8">
        <f>188+188</f>
        <v>376</v>
      </c>
      <c r="AD51" s="8">
        <v>6</v>
      </c>
      <c r="AE51" s="8">
        <f>168+168</f>
        <v>336</v>
      </c>
      <c r="AF51" s="8">
        <v>0</v>
      </c>
      <c r="AG51" s="8">
        <v>0</v>
      </c>
      <c r="AH51" s="8">
        <v>0</v>
      </c>
      <c r="AI51" s="8">
        <v>0</v>
      </c>
      <c r="AJ51" s="8">
        <v>0</v>
      </c>
      <c r="AK51" s="8">
        <f>22+24</f>
        <v>46</v>
      </c>
      <c r="AL51" s="8">
        <v>0</v>
      </c>
      <c r="AM51" s="8">
        <v>13</v>
      </c>
      <c r="AN51" s="8">
        <v>23</v>
      </c>
      <c r="AO51" s="8">
        <f>3475+3475</f>
        <v>6950</v>
      </c>
      <c r="AP51" s="8">
        <f>36+7</f>
        <v>43</v>
      </c>
      <c r="AQ51" s="8">
        <f>82+97</f>
        <v>179</v>
      </c>
      <c r="AR51" s="8">
        <v>15</v>
      </c>
      <c r="AS51" s="8">
        <v>2</v>
      </c>
      <c r="AT51" s="8">
        <f>51+23</f>
        <v>74</v>
      </c>
      <c r="AU51" s="8">
        <f>91+98</f>
        <v>189</v>
      </c>
    </row>
    <row r="52" spans="1:47" x14ac:dyDescent="0.35">
      <c r="A52" s="23" t="s">
        <v>94</v>
      </c>
      <c r="B52" s="16">
        <v>24029</v>
      </c>
      <c r="C52" s="11">
        <f>192+148</f>
        <v>340</v>
      </c>
      <c r="D52" s="11">
        <f>225+102</f>
        <v>327</v>
      </c>
      <c r="E52" s="11">
        <v>18</v>
      </c>
      <c r="F52" s="11">
        <f>219+90</f>
        <v>309</v>
      </c>
      <c r="G52" s="11">
        <v>0</v>
      </c>
      <c r="H52" s="11">
        <v>0</v>
      </c>
      <c r="I52" s="11">
        <v>0</v>
      </c>
      <c r="J52" s="12">
        <v>0</v>
      </c>
      <c r="K52" s="11">
        <v>0</v>
      </c>
      <c r="L52" s="11">
        <f t="shared" si="4"/>
        <v>327</v>
      </c>
      <c r="M52" s="11">
        <f>218+102</f>
        <v>320</v>
      </c>
      <c r="N52" s="11">
        <v>7</v>
      </c>
      <c r="O52" s="11">
        <v>0</v>
      </c>
      <c r="P52" s="11">
        <f t="shared" si="2"/>
        <v>327</v>
      </c>
      <c r="Q52" s="11">
        <v>0</v>
      </c>
      <c r="R52" s="11">
        <v>3</v>
      </c>
      <c r="S52" s="11">
        <f>98+59</f>
        <v>157</v>
      </c>
      <c r="T52" s="11">
        <f>119+43</f>
        <v>162</v>
      </c>
      <c r="U52" s="11">
        <v>5</v>
      </c>
      <c r="V52" s="11">
        <v>0</v>
      </c>
      <c r="W52" s="11">
        <v>0</v>
      </c>
      <c r="X52" s="11">
        <f t="shared" si="3"/>
        <v>327</v>
      </c>
      <c r="Y52" s="11">
        <f>225+101</f>
        <v>326</v>
      </c>
      <c r="Z52" s="11">
        <f>225+88</f>
        <v>313</v>
      </c>
      <c r="AA52" s="11">
        <f>225+14</f>
        <v>239</v>
      </c>
      <c r="AB52" s="11">
        <v>22</v>
      </c>
      <c r="AC52" s="11">
        <v>0</v>
      </c>
      <c r="AD52" s="11">
        <v>0</v>
      </c>
      <c r="AE52" s="11">
        <f>225+72</f>
        <v>297</v>
      </c>
      <c r="AF52" s="11">
        <v>14</v>
      </c>
      <c r="AG52" s="11">
        <v>11</v>
      </c>
      <c r="AH52" s="11">
        <v>6</v>
      </c>
      <c r="AI52" s="11">
        <v>9</v>
      </c>
      <c r="AJ52" s="11">
        <v>8</v>
      </c>
      <c r="AK52" s="11">
        <v>6</v>
      </c>
      <c r="AL52" s="11">
        <v>0</v>
      </c>
      <c r="AM52" s="11">
        <v>13</v>
      </c>
      <c r="AN52" s="11">
        <v>4</v>
      </c>
      <c r="AO52" s="11">
        <f>1440+1440</f>
        <v>2880</v>
      </c>
      <c r="AP52" s="11">
        <v>7</v>
      </c>
      <c r="AQ52" s="11">
        <v>6</v>
      </c>
      <c r="AR52" s="11">
        <v>0</v>
      </c>
      <c r="AS52" s="11">
        <v>2</v>
      </c>
      <c r="AT52" s="11">
        <v>0</v>
      </c>
      <c r="AU52" s="11">
        <v>0</v>
      </c>
    </row>
    <row r="53" spans="1:47" x14ac:dyDescent="0.35">
      <c r="A53" s="23" t="s">
        <v>95</v>
      </c>
      <c r="B53" s="19">
        <v>53435</v>
      </c>
      <c r="C53" s="8">
        <f>92+93</f>
        <v>185</v>
      </c>
      <c r="D53" s="8">
        <f>75+58</f>
        <v>133</v>
      </c>
      <c r="E53" s="8">
        <v>20</v>
      </c>
      <c r="F53" s="8">
        <v>50</v>
      </c>
      <c r="G53" s="8">
        <v>10</v>
      </c>
      <c r="H53" s="8">
        <v>14</v>
      </c>
      <c r="I53" s="8">
        <v>1</v>
      </c>
      <c r="J53" s="9">
        <f>18+15</f>
        <v>33</v>
      </c>
      <c r="K53" s="8">
        <v>5</v>
      </c>
      <c r="L53" s="41">
        <f t="shared" si="4"/>
        <v>133</v>
      </c>
      <c r="M53" s="8">
        <f>73+56</f>
        <v>129</v>
      </c>
      <c r="N53" s="8">
        <v>4</v>
      </c>
      <c r="O53" s="8">
        <v>0</v>
      </c>
      <c r="P53" s="8">
        <f t="shared" si="2"/>
        <v>133</v>
      </c>
      <c r="Q53" s="8">
        <v>0</v>
      </c>
      <c r="R53" s="8">
        <v>0</v>
      </c>
      <c r="S53" s="8">
        <v>0</v>
      </c>
      <c r="T53" s="8">
        <f>32+58</f>
        <v>90</v>
      </c>
      <c r="U53" s="8">
        <v>26</v>
      </c>
      <c r="V53" s="8">
        <v>0</v>
      </c>
      <c r="W53" s="8">
        <v>17</v>
      </c>
      <c r="X53" s="8">
        <f t="shared" si="3"/>
        <v>133</v>
      </c>
      <c r="Y53" s="8">
        <f>58+58</f>
        <v>116</v>
      </c>
      <c r="Z53" s="8">
        <v>116</v>
      </c>
      <c r="AA53" s="8">
        <v>50</v>
      </c>
      <c r="AB53" s="8">
        <v>54</v>
      </c>
      <c r="AC53" s="8">
        <v>10</v>
      </c>
      <c r="AD53" s="8">
        <v>5</v>
      </c>
      <c r="AE53" s="8">
        <f>21+27</f>
        <v>48</v>
      </c>
      <c r="AF53" s="8">
        <v>5</v>
      </c>
      <c r="AG53" s="8">
        <v>12</v>
      </c>
      <c r="AH53" s="8">
        <v>35</v>
      </c>
      <c r="AI53" s="8">
        <v>1</v>
      </c>
      <c r="AJ53" s="8">
        <v>0</v>
      </c>
      <c r="AK53" s="8">
        <v>18</v>
      </c>
      <c r="AL53" s="8">
        <v>7</v>
      </c>
      <c r="AM53" s="8">
        <v>18</v>
      </c>
      <c r="AN53" s="8">
        <v>18</v>
      </c>
      <c r="AO53" s="8">
        <f>708+196</f>
        <v>904</v>
      </c>
      <c r="AP53" s="8">
        <v>0</v>
      </c>
      <c r="AQ53" s="8">
        <v>3</v>
      </c>
      <c r="AR53" s="8">
        <v>0</v>
      </c>
      <c r="AS53" s="8">
        <v>0</v>
      </c>
      <c r="AT53" s="8">
        <v>0</v>
      </c>
      <c r="AU53" s="8">
        <v>0</v>
      </c>
    </row>
    <row r="54" spans="1:47" x14ac:dyDescent="0.35">
      <c r="A54" s="23" t="s">
        <v>96</v>
      </c>
      <c r="B54" s="16">
        <v>5466</v>
      </c>
      <c r="C54" s="11">
        <f>374+369</f>
        <v>743</v>
      </c>
      <c r="D54" s="11">
        <f>88+59</f>
        <v>147</v>
      </c>
      <c r="E54" s="11">
        <f>46+45</f>
        <v>91</v>
      </c>
      <c r="F54" s="11">
        <f>27+14</f>
        <v>41</v>
      </c>
      <c r="G54" s="11">
        <v>4</v>
      </c>
      <c r="H54" s="11">
        <v>0</v>
      </c>
      <c r="I54" s="11">
        <v>0</v>
      </c>
      <c r="J54" s="12">
        <v>11</v>
      </c>
      <c r="K54" s="11">
        <v>0</v>
      </c>
      <c r="L54" s="11">
        <f t="shared" si="4"/>
        <v>147</v>
      </c>
      <c r="M54" s="11">
        <f>85+57</f>
        <v>142</v>
      </c>
      <c r="N54" s="11">
        <v>5</v>
      </c>
      <c r="O54" s="11">
        <v>0</v>
      </c>
      <c r="P54" s="11">
        <f t="shared" si="2"/>
        <v>147</v>
      </c>
      <c r="Q54" s="11">
        <v>14</v>
      </c>
      <c r="R54" s="11">
        <v>3</v>
      </c>
      <c r="S54" s="11">
        <v>21</v>
      </c>
      <c r="T54" s="11">
        <f>37+34</f>
        <v>71</v>
      </c>
      <c r="U54" s="11">
        <v>24</v>
      </c>
      <c r="V54" s="11">
        <v>8</v>
      </c>
      <c r="W54" s="11">
        <v>6</v>
      </c>
      <c r="X54" s="11">
        <f t="shared" si="3"/>
        <v>147</v>
      </c>
      <c r="Y54" s="11">
        <f>352+398</f>
        <v>750</v>
      </c>
      <c r="Z54" s="11">
        <f>131+212</f>
        <v>343</v>
      </c>
      <c r="AA54" s="11">
        <f>164+224</f>
        <v>388</v>
      </c>
      <c r="AB54" s="11">
        <v>32</v>
      </c>
      <c r="AC54" s="11">
        <f>352+398</f>
        <v>750</v>
      </c>
      <c r="AD54" s="11">
        <v>0</v>
      </c>
      <c r="AE54" s="11">
        <v>42</v>
      </c>
      <c r="AF54" s="11">
        <v>0</v>
      </c>
      <c r="AG54" s="11">
        <v>0</v>
      </c>
      <c r="AH54" s="11">
        <v>0</v>
      </c>
      <c r="AI54" s="11">
        <v>0</v>
      </c>
      <c r="AJ54" s="11">
        <v>0</v>
      </c>
      <c r="AK54" s="11">
        <v>66</v>
      </c>
      <c r="AL54" s="11">
        <v>24</v>
      </c>
      <c r="AM54" s="11">
        <v>88</v>
      </c>
      <c r="AN54" s="11">
        <f>45+101</f>
        <v>146</v>
      </c>
      <c r="AO54" s="11">
        <f>1218+1138</f>
        <v>2356</v>
      </c>
      <c r="AP54" s="11">
        <v>4</v>
      </c>
      <c r="AQ54" s="11">
        <v>6</v>
      </c>
      <c r="AR54" s="11">
        <v>3</v>
      </c>
      <c r="AS54" s="11">
        <v>0</v>
      </c>
      <c r="AT54" s="11">
        <v>0</v>
      </c>
      <c r="AU54" s="11">
        <v>0</v>
      </c>
    </row>
    <row r="55" spans="1:47" x14ac:dyDescent="0.35">
      <c r="A55" s="23" t="s">
        <v>97</v>
      </c>
      <c r="B55" s="19">
        <v>176229</v>
      </c>
      <c r="C55" s="8">
        <f>717+607</f>
        <v>1324</v>
      </c>
      <c r="D55" s="8">
        <f>410+437</f>
        <v>847</v>
      </c>
      <c r="E55" s="8">
        <f>201+242</f>
        <v>443</v>
      </c>
      <c r="F55" s="8">
        <f>101+96</f>
        <v>197</v>
      </c>
      <c r="G55" s="8">
        <f>29+33</f>
        <v>62</v>
      </c>
      <c r="H55" s="8">
        <v>0</v>
      </c>
      <c r="I55" s="8">
        <v>8</v>
      </c>
      <c r="J55" s="9">
        <f>55+49</f>
        <v>104</v>
      </c>
      <c r="K55" s="8">
        <f>21+12</f>
        <v>33</v>
      </c>
      <c r="L55" s="41">
        <f t="shared" si="4"/>
        <v>847</v>
      </c>
      <c r="M55" s="8">
        <f>364+57</f>
        <v>421</v>
      </c>
      <c r="N55" s="8">
        <f>46+380</f>
        <v>426</v>
      </c>
      <c r="O55" s="8">
        <v>0</v>
      </c>
      <c r="P55" s="8">
        <f t="shared" si="2"/>
        <v>847</v>
      </c>
      <c r="Q55" s="8">
        <f>54+55</f>
        <v>109</v>
      </c>
      <c r="R55" s="8">
        <f>15+12</f>
        <v>27</v>
      </c>
      <c r="S55" s="8">
        <f>52+37</f>
        <v>89</v>
      </c>
      <c r="T55" s="8">
        <f>130+143</f>
        <v>273</v>
      </c>
      <c r="U55" s="8">
        <f>66+80</f>
        <v>146</v>
      </c>
      <c r="V55" s="8">
        <v>20</v>
      </c>
      <c r="W55" s="8">
        <f>84+99</f>
        <v>183</v>
      </c>
      <c r="X55" s="8">
        <f t="shared" si="3"/>
        <v>847</v>
      </c>
      <c r="Y55" s="8">
        <f>446+454</f>
        <v>900</v>
      </c>
      <c r="Z55" s="8">
        <f>24+22</f>
        <v>46</v>
      </c>
      <c r="AA55" s="8">
        <f>63+33</f>
        <v>96</v>
      </c>
      <c r="AB55" s="8">
        <f>180+235</f>
        <v>415</v>
      </c>
      <c r="AC55" s="8">
        <f>361+231</f>
        <v>592</v>
      </c>
      <c r="AD55" s="8">
        <v>0</v>
      </c>
      <c r="AE55" s="8">
        <f>165+228</f>
        <v>393</v>
      </c>
      <c r="AF55" s="8">
        <v>66</v>
      </c>
      <c r="AG55" s="8">
        <v>0</v>
      </c>
      <c r="AH55" s="8">
        <v>0</v>
      </c>
      <c r="AI55" s="8">
        <v>0</v>
      </c>
      <c r="AJ55" s="8">
        <v>0</v>
      </c>
      <c r="AK55" s="8">
        <f>26+26</f>
        <v>52</v>
      </c>
      <c r="AL55" s="8">
        <v>52</v>
      </c>
      <c r="AM55" s="8">
        <v>18</v>
      </c>
      <c r="AN55" s="8">
        <v>2</v>
      </c>
      <c r="AO55" s="8">
        <f>111+85</f>
        <v>196</v>
      </c>
      <c r="AP55" s="8">
        <f>59+65</f>
        <v>124</v>
      </c>
      <c r="AQ55" s="8">
        <f>65+74</f>
        <v>139</v>
      </c>
      <c r="AR55" s="8">
        <v>4</v>
      </c>
      <c r="AS55" s="8">
        <v>17</v>
      </c>
      <c r="AT55" s="8">
        <v>5</v>
      </c>
      <c r="AU55" s="8">
        <v>0</v>
      </c>
    </row>
    <row r="56" spans="1:47" x14ac:dyDescent="0.35">
      <c r="A56" s="23" t="s">
        <v>98</v>
      </c>
      <c r="B56" s="16">
        <v>43639</v>
      </c>
      <c r="C56" s="11">
        <f>304+336</f>
        <v>640</v>
      </c>
      <c r="D56" s="11">
        <f>127+130</f>
        <v>257</v>
      </c>
      <c r="E56" s="11">
        <f>91+101</f>
        <v>192</v>
      </c>
      <c r="F56" s="11">
        <v>4</v>
      </c>
      <c r="G56" s="11">
        <v>31</v>
      </c>
      <c r="H56" s="11">
        <v>6</v>
      </c>
      <c r="I56" s="11">
        <v>1</v>
      </c>
      <c r="J56" s="12">
        <v>5</v>
      </c>
      <c r="K56" s="11">
        <v>18</v>
      </c>
      <c r="L56" s="11">
        <f t="shared" si="4"/>
        <v>257</v>
      </c>
      <c r="M56" s="11">
        <v>195</v>
      </c>
      <c r="N56" s="11">
        <v>62</v>
      </c>
      <c r="O56" s="11">
        <v>0</v>
      </c>
      <c r="P56" s="11">
        <f t="shared" si="2"/>
        <v>257</v>
      </c>
      <c r="Q56" s="11">
        <f>45+44</f>
        <v>89</v>
      </c>
      <c r="R56" s="11">
        <v>24</v>
      </c>
      <c r="S56" s="11">
        <v>31</v>
      </c>
      <c r="T56" s="11">
        <v>69</v>
      </c>
      <c r="U56" s="11">
        <v>33</v>
      </c>
      <c r="V56" s="11">
        <v>7</v>
      </c>
      <c r="W56" s="11">
        <v>4</v>
      </c>
      <c r="X56" s="11">
        <f t="shared" si="3"/>
        <v>257</v>
      </c>
      <c r="Y56" s="11">
        <f>841+653</f>
        <v>1494</v>
      </c>
      <c r="Z56" s="11">
        <f>357+1290</f>
        <v>1647</v>
      </c>
      <c r="AA56" s="11">
        <f>499+630</f>
        <v>1129</v>
      </c>
      <c r="AB56" s="11">
        <f>47+127</f>
        <v>174</v>
      </c>
      <c r="AC56" s="11">
        <f>647+92</f>
        <v>739</v>
      </c>
      <c r="AD56" s="11">
        <v>12</v>
      </c>
      <c r="AE56" s="11">
        <f>360+355</f>
        <v>715</v>
      </c>
      <c r="AF56" s="11">
        <f>46+119</f>
        <v>165</v>
      </c>
      <c r="AG56" s="11">
        <v>29</v>
      </c>
      <c r="AH56" s="11">
        <f>62+134</f>
        <v>196</v>
      </c>
      <c r="AI56" s="11">
        <f>43+159</f>
        <v>202</v>
      </c>
      <c r="AJ56" s="11">
        <f>23+155</f>
        <v>178</v>
      </c>
      <c r="AK56" s="11">
        <v>29</v>
      </c>
      <c r="AL56" s="11">
        <v>21</v>
      </c>
      <c r="AM56" s="11">
        <f>119+48</f>
        <v>167</v>
      </c>
      <c r="AN56" s="11">
        <v>19</v>
      </c>
      <c r="AO56" s="11">
        <f>1712+1690</f>
        <v>3402</v>
      </c>
      <c r="AP56" s="11">
        <v>21</v>
      </c>
      <c r="AQ56" s="11">
        <v>16</v>
      </c>
      <c r="AR56" s="11">
        <v>1</v>
      </c>
      <c r="AS56" s="11">
        <v>8</v>
      </c>
      <c r="AT56" s="11">
        <v>19</v>
      </c>
      <c r="AU56" s="11">
        <f>83+36</f>
        <v>119</v>
      </c>
    </row>
    <row r="57" spans="1:47" x14ac:dyDescent="0.35">
      <c r="A57" s="23" t="s">
        <v>99</v>
      </c>
      <c r="B57" s="17">
        <v>194271</v>
      </c>
      <c r="C57" s="8">
        <f>542+516</f>
        <v>1058</v>
      </c>
      <c r="D57" s="8">
        <f>1238+1230</f>
        <v>2468</v>
      </c>
      <c r="E57" s="8">
        <f>583+582</f>
        <v>1165</v>
      </c>
      <c r="F57" s="8">
        <f>354+372</f>
        <v>726</v>
      </c>
      <c r="G57" s="8">
        <f>132+78</f>
        <v>210</v>
      </c>
      <c r="H57" s="8">
        <v>10</v>
      </c>
      <c r="I57" s="8">
        <v>21</v>
      </c>
      <c r="J57" s="9">
        <f>106+132</f>
        <v>238</v>
      </c>
      <c r="K57" s="8">
        <f>37+61</f>
        <v>98</v>
      </c>
      <c r="L57" s="41">
        <f t="shared" si="4"/>
        <v>2468</v>
      </c>
      <c r="M57" s="8">
        <f>864+825</f>
        <v>1689</v>
      </c>
      <c r="N57" s="8">
        <f>374+405</f>
        <v>779</v>
      </c>
      <c r="O57" s="8">
        <v>0</v>
      </c>
      <c r="P57" s="8">
        <f t="shared" si="2"/>
        <v>2468</v>
      </c>
      <c r="Q57" s="8">
        <f>425+471</f>
        <v>896</v>
      </c>
      <c r="R57" s="8">
        <f>108+96</f>
        <v>204</v>
      </c>
      <c r="S57" s="8">
        <f>119+78</f>
        <v>197</v>
      </c>
      <c r="T57" s="8">
        <f>244+252</f>
        <v>496</v>
      </c>
      <c r="U57" s="8">
        <f>184+171</f>
        <v>355</v>
      </c>
      <c r="V57" s="8">
        <v>35</v>
      </c>
      <c r="W57" s="8">
        <f>138+147</f>
        <v>285</v>
      </c>
      <c r="X57" s="8">
        <f t="shared" si="3"/>
        <v>2468</v>
      </c>
      <c r="Y57" s="8">
        <f>668+663</f>
        <v>1331</v>
      </c>
      <c r="Z57" s="8">
        <v>1331</v>
      </c>
      <c r="AA57" s="8">
        <f>113+168</f>
        <v>281</v>
      </c>
      <c r="AB57" s="8">
        <f>407+447</f>
        <v>854</v>
      </c>
      <c r="AC57" s="8">
        <f>528+501</f>
        <v>1029</v>
      </c>
      <c r="AD57" s="8">
        <v>27</v>
      </c>
      <c r="AE57" s="8">
        <f>307+309</f>
        <v>616</v>
      </c>
      <c r="AF57" s="8">
        <f>31+75</f>
        <v>106</v>
      </c>
      <c r="AG57" s="8">
        <v>67</v>
      </c>
      <c r="AH57" s="8">
        <f>41+75</f>
        <v>116</v>
      </c>
      <c r="AI57" s="8">
        <f>75+17</f>
        <v>92</v>
      </c>
      <c r="AJ57" s="8">
        <v>5</v>
      </c>
      <c r="AK57" s="8">
        <f>28+24</f>
        <v>52</v>
      </c>
      <c r="AL57" s="8">
        <v>5</v>
      </c>
      <c r="AM57" s="8">
        <v>37</v>
      </c>
      <c r="AN57" s="8">
        <v>19</v>
      </c>
      <c r="AO57" s="8">
        <f>2700+1404</f>
        <v>4104</v>
      </c>
      <c r="AP57" s="8">
        <f>63+54</f>
        <v>117</v>
      </c>
      <c r="AQ57" s="8">
        <f>72+63</f>
        <v>135</v>
      </c>
      <c r="AR57" s="8">
        <v>1</v>
      </c>
      <c r="AS57" s="8">
        <v>20</v>
      </c>
      <c r="AT57" s="8">
        <v>0</v>
      </c>
      <c r="AU57" s="8">
        <v>34</v>
      </c>
    </row>
    <row r="58" spans="1:47" x14ac:dyDescent="0.35">
      <c r="A58" s="23" t="s">
        <v>100</v>
      </c>
      <c r="B58" s="16">
        <v>10100</v>
      </c>
      <c r="C58" s="11">
        <f>70+53</f>
        <v>123</v>
      </c>
      <c r="D58" s="11">
        <f>25+39</f>
        <v>64</v>
      </c>
      <c r="E58" s="11">
        <f>15+18</f>
        <v>33</v>
      </c>
      <c r="F58" s="11">
        <v>26</v>
      </c>
      <c r="G58" s="11">
        <v>1</v>
      </c>
      <c r="H58" s="11">
        <v>0</v>
      </c>
      <c r="I58" s="11">
        <v>0</v>
      </c>
      <c r="J58" s="12">
        <v>0</v>
      </c>
      <c r="K58" s="11">
        <v>4</v>
      </c>
      <c r="L58" s="11">
        <f t="shared" si="4"/>
        <v>64</v>
      </c>
      <c r="M58" s="11">
        <v>48</v>
      </c>
      <c r="N58" s="11">
        <v>16</v>
      </c>
      <c r="O58" s="11">
        <v>0</v>
      </c>
      <c r="P58" s="11">
        <f t="shared" si="2"/>
        <v>64</v>
      </c>
      <c r="Q58" s="11">
        <v>11</v>
      </c>
      <c r="R58" s="11">
        <v>11</v>
      </c>
      <c r="S58" s="11">
        <v>6</v>
      </c>
      <c r="T58" s="11">
        <v>14</v>
      </c>
      <c r="U58" s="11">
        <v>16</v>
      </c>
      <c r="V58" s="11">
        <v>6</v>
      </c>
      <c r="W58" s="11">
        <v>0</v>
      </c>
      <c r="X58" s="11">
        <f t="shared" si="3"/>
        <v>64</v>
      </c>
      <c r="Y58" s="11">
        <f>147+182</f>
        <v>329</v>
      </c>
      <c r="Z58" s="11">
        <f>169+158</f>
        <v>327</v>
      </c>
      <c r="AA58" s="11">
        <f>407+443</f>
        <v>850</v>
      </c>
      <c r="AB58" s="11">
        <v>6</v>
      </c>
      <c r="AC58" s="11">
        <f>76+86</f>
        <v>162</v>
      </c>
      <c r="AD58" s="11">
        <v>0</v>
      </c>
      <c r="AE58" s="11">
        <f>79+90</f>
        <v>169</v>
      </c>
      <c r="AF58" s="11">
        <v>0</v>
      </c>
      <c r="AG58" s="11">
        <v>0</v>
      </c>
      <c r="AH58" s="11">
        <v>23</v>
      </c>
      <c r="AI58" s="11">
        <v>2</v>
      </c>
      <c r="AJ58" s="11">
        <v>0</v>
      </c>
      <c r="AK58" s="11">
        <v>0</v>
      </c>
      <c r="AL58" s="11">
        <v>0</v>
      </c>
      <c r="AM58" s="11">
        <v>4</v>
      </c>
      <c r="AN58" s="11">
        <v>3</v>
      </c>
      <c r="AO58" s="11">
        <v>0</v>
      </c>
      <c r="AP58" s="11">
        <v>0</v>
      </c>
      <c r="AQ58" s="11">
        <v>0</v>
      </c>
      <c r="AR58" s="11">
        <v>0</v>
      </c>
      <c r="AS58" s="11">
        <v>13</v>
      </c>
      <c r="AT58" s="11">
        <v>7</v>
      </c>
      <c r="AU58" s="11">
        <v>0</v>
      </c>
    </row>
    <row r="59" spans="1:47" x14ac:dyDescent="0.35">
      <c r="A59" s="23" t="s">
        <v>189</v>
      </c>
      <c r="B59" s="17">
        <v>59729</v>
      </c>
      <c r="C59" s="8">
        <v>716</v>
      </c>
      <c r="D59" s="8">
        <v>322</v>
      </c>
      <c r="E59" s="8">
        <v>112</v>
      </c>
      <c r="F59" s="8">
        <v>137</v>
      </c>
      <c r="G59" s="8">
        <v>73</v>
      </c>
      <c r="H59" s="8">
        <v>0</v>
      </c>
      <c r="I59" s="8">
        <v>0</v>
      </c>
      <c r="J59" s="9">
        <v>0</v>
      </c>
      <c r="K59" s="8">
        <v>0</v>
      </c>
      <c r="L59" s="41">
        <f t="shared" si="4"/>
        <v>322</v>
      </c>
      <c r="M59" s="8">
        <v>291</v>
      </c>
      <c r="N59" s="8">
        <v>31</v>
      </c>
      <c r="O59" s="8">
        <v>0</v>
      </c>
      <c r="P59" s="8">
        <f t="shared" si="2"/>
        <v>322</v>
      </c>
      <c r="Q59" s="8">
        <v>68</v>
      </c>
      <c r="R59" s="8">
        <v>16</v>
      </c>
      <c r="S59" s="8">
        <v>78</v>
      </c>
      <c r="T59" s="8">
        <v>140</v>
      </c>
      <c r="U59" s="8">
        <v>18</v>
      </c>
      <c r="V59" s="8">
        <v>2</v>
      </c>
      <c r="W59" s="8">
        <v>0</v>
      </c>
      <c r="X59" s="8">
        <f t="shared" si="3"/>
        <v>322</v>
      </c>
      <c r="Y59" s="8">
        <v>1028</v>
      </c>
      <c r="Z59" s="8">
        <v>886</v>
      </c>
      <c r="AA59" s="8">
        <v>795</v>
      </c>
      <c r="AB59" s="8">
        <v>161</v>
      </c>
      <c r="AC59" s="8">
        <v>226</v>
      </c>
      <c r="AD59" s="8">
        <v>22</v>
      </c>
      <c r="AE59" s="8">
        <v>411</v>
      </c>
      <c r="AF59" s="8">
        <v>81</v>
      </c>
      <c r="AG59" s="8">
        <v>52</v>
      </c>
      <c r="AH59" s="8">
        <v>58</v>
      </c>
      <c r="AI59" s="8">
        <v>92</v>
      </c>
      <c r="AJ59" s="8">
        <v>52</v>
      </c>
      <c r="AK59" s="8">
        <v>18</v>
      </c>
      <c r="AL59" s="8">
        <v>12</v>
      </c>
      <c r="AM59" s="8">
        <v>16</v>
      </c>
      <c r="AN59" s="8">
        <v>8</v>
      </c>
      <c r="AO59" s="8">
        <v>1042</v>
      </c>
      <c r="AP59" s="8">
        <v>84</v>
      </c>
      <c r="AQ59" s="8">
        <v>90</v>
      </c>
      <c r="AR59" s="8">
        <v>2</v>
      </c>
      <c r="AS59" s="8">
        <v>10</v>
      </c>
      <c r="AT59" s="8">
        <v>12</v>
      </c>
      <c r="AU59" s="8">
        <v>18</v>
      </c>
    </row>
    <row r="60" spans="1:47" x14ac:dyDescent="0.35">
      <c r="A60" s="23" t="s">
        <v>101</v>
      </c>
      <c r="B60" s="16">
        <v>57346</v>
      </c>
      <c r="C60" s="11">
        <f>93+207</f>
        <v>300</v>
      </c>
      <c r="D60" s="11">
        <f>42+72</f>
        <v>114</v>
      </c>
      <c r="E60" s="11">
        <v>41</v>
      </c>
      <c r="F60" s="11">
        <v>59</v>
      </c>
      <c r="G60" s="11">
        <v>9</v>
      </c>
      <c r="H60" s="11">
        <v>0</v>
      </c>
      <c r="I60" s="11">
        <v>0</v>
      </c>
      <c r="J60" s="12">
        <v>0</v>
      </c>
      <c r="K60" s="11">
        <v>5</v>
      </c>
      <c r="L60" s="11">
        <f t="shared" si="4"/>
        <v>114</v>
      </c>
      <c r="M60" s="11">
        <f>22+61</f>
        <v>83</v>
      </c>
      <c r="N60" s="11">
        <v>31</v>
      </c>
      <c r="O60" s="11">
        <v>0</v>
      </c>
      <c r="P60" s="11">
        <f t="shared" si="2"/>
        <v>114</v>
      </c>
      <c r="Q60" s="11">
        <v>8</v>
      </c>
      <c r="R60" s="11">
        <v>3</v>
      </c>
      <c r="S60" s="11">
        <v>12</v>
      </c>
      <c r="T60" s="11">
        <f>18+37</f>
        <v>55</v>
      </c>
      <c r="U60" s="11">
        <v>30</v>
      </c>
      <c r="V60" s="11">
        <v>6</v>
      </c>
      <c r="W60" s="11">
        <v>0</v>
      </c>
      <c r="X60" s="11">
        <f t="shared" si="3"/>
        <v>114</v>
      </c>
      <c r="Y60" s="11">
        <v>209</v>
      </c>
      <c r="Z60" s="11">
        <f>143+207</f>
        <v>350</v>
      </c>
      <c r="AA60" s="11">
        <v>87</v>
      </c>
      <c r="AB60" s="11">
        <v>15</v>
      </c>
      <c r="AC60" s="11">
        <v>0</v>
      </c>
      <c r="AD60" s="11">
        <v>2</v>
      </c>
      <c r="AE60" s="11">
        <f>36+129</f>
        <v>165</v>
      </c>
      <c r="AF60" s="11">
        <v>207</v>
      </c>
      <c r="AG60" s="11">
        <v>50</v>
      </c>
      <c r="AH60" s="11">
        <v>151</v>
      </c>
      <c r="AI60" s="11">
        <v>32</v>
      </c>
      <c r="AJ60" s="11">
        <v>51</v>
      </c>
      <c r="AK60" s="11">
        <v>12</v>
      </c>
      <c r="AL60" s="11">
        <v>0</v>
      </c>
      <c r="AM60" s="11">
        <v>6</v>
      </c>
      <c r="AN60" s="11">
        <v>9</v>
      </c>
      <c r="AO60" s="11">
        <f>325+320</f>
        <v>645</v>
      </c>
      <c r="AP60" s="11">
        <v>38</v>
      </c>
      <c r="AQ60" s="11">
        <f>24+43</f>
        <v>67</v>
      </c>
      <c r="AR60" s="11">
        <v>2</v>
      </c>
      <c r="AS60" s="11">
        <v>0</v>
      </c>
      <c r="AT60" s="11">
        <v>0</v>
      </c>
      <c r="AU60" s="11">
        <v>12</v>
      </c>
    </row>
    <row r="61" spans="1:47" x14ac:dyDescent="0.35">
      <c r="A61" s="23" t="s">
        <v>102</v>
      </c>
      <c r="B61" s="17">
        <v>83318</v>
      </c>
      <c r="C61" s="8">
        <f>103+118</f>
        <v>221</v>
      </c>
      <c r="D61" s="8">
        <f>103+98</f>
        <v>201</v>
      </c>
      <c r="E61" s="8">
        <f>51+57</f>
        <v>108</v>
      </c>
      <c r="F61" s="8">
        <v>19</v>
      </c>
      <c r="G61" s="8">
        <f>26+24</f>
        <v>50</v>
      </c>
      <c r="H61" s="8">
        <v>1</v>
      </c>
      <c r="I61" s="8">
        <v>0</v>
      </c>
      <c r="J61" s="9">
        <v>5</v>
      </c>
      <c r="K61" s="8">
        <f>6+12</f>
        <v>18</v>
      </c>
      <c r="L61" s="41">
        <f t="shared" si="4"/>
        <v>201</v>
      </c>
      <c r="M61" s="8">
        <f>96+84</f>
        <v>180</v>
      </c>
      <c r="N61" s="8">
        <v>21</v>
      </c>
      <c r="O61" s="8">
        <v>0</v>
      </c>
      <c r="P61" s="8">
        <f t="shared" si="2"/>
        <v>201</v>
      </c>
      <c r="Q61" s="8">
        <f>14+9</f>
        <v>23</v>
      </c>
      <c r="R61" s="8">
        <v>2</v>
      </c>
      <c r="S61" s="8">
        <v>20</v>
      </c>
      <c r="T61" s="8">
        <f>39+34</f>
        <v>73</v>
      </c>
      <c r="U61" s="8">
        <f>36+26</f>
        <v>62</v>
      </c>
      <c r="V61" s="8">
        <v>6</v>
      </c>
      <c r="W61" s="8">
        <v>15</v>
      </c>
      <c r="X61" s="8">
        <f t="shared" si="3"/>
        <v>201</v>
      </c>
      <c r="Y61" s="8">
        <f>632+531</f>
        <v>1163</v>
      </c>
      <c r="Z61" s="8">
        <f>293+335</f>
        <v>628</v>
      </c>
      <c r="AA61" s="8">
        <f>145+154</f>
        <v>299</v>
      </c>
      <c r="AB61" s="8">
        <f>111+145</f>
        <v>256</v>
      </c>
      <c r="AC61" s="8">
        <v>145</v>
      </c>
      <c r="AD61" s="8">
        <v>1</v>
      </c>
      <c r="AE61" s="8">
        <f>34+54</f>
        <v>88</v>
      </c>
      <c r="AF61" s="8">
        <v>157</v>
      </c>
      <c r="AG61" s="8">
        <f>29+157+91</f>
        <v>277</v>
      </c>
      <c r="AH61" s="8">
        <f>93+96</f>
        <v>189</v>
      </c>
      <c r="AI61" s="8">
        <f>187+93</f>
        <v>280</v>
      </c>
      <c r="AJ61" s="8">
        <v>26</v>
      </c>
      <c r="AK61" s="8">
        <v>0</v>
      </c>
      <c r="AL61" s="8">
        <v>0</v>
      </c>
      <c r="AM61" s="8">
        <v>15</v>
      </c>
      <c r="AN61" s="8">
        <v>2</v>
      </c>
      <c r="AO61" s="8">
        <f>2941+2892</f>
        <v>5833</v>
      </c>
      <c r="AP61" s="8">
        <v>25</v>
      </c>
      <c r="AQ61" s="8">
        <f>49+42</f>
        <v>91</v>
      </c>
      <c r="AR61" s="8">
        <v>4</v>
      </c>
      <c r="AS61" s="8">
        <v>1</v>
      </c>
      <c r="AT61" s="8">
        <f>54+52</f>
        <v>106</v>
      </c>
      <c r="AU61" s="8">
        <f>91+138</f>
        <v>229</v>
      </c>
    </row>
    <row r="62" spans="1:47" x14ac:dyDescent="0.35">
      <c r="A62" s="23" t="s">
        <v>103</v>
      </c>
      <c r="B62" s="16">
        <v>35596</v>
      </c>
      <c r="C62" s="11">
        <f>507+681</f>
        <v>1188</v>
      </c>
      <c r="D62" s="11">
        <f>221+168</f>
        <v>389</v>
      </c>
      <c r="E62" s="11">
        <f>177+143</f>
        <v>320</v>
      </c>
      <c r="F62" s="11">
        <v>9</v>
      </c>
      <c r="G62" s="11">
        <f>24+15</f>
        <v>39</v>
      </c>
      <c r="H62" s="11">
        <v>1</v>
      </c>
      <c r="I62" s="11">
        <v>2</v>
      </c>
      <c r="J62" s="12">
        <v>8</v>
      </c>
      <c r="K62" s="11">
        <v>10</v>
      </c>
      <c r="L62" s="11">
        <f t="shared" si="4"/>
        <v>389</v>
      </c>
      <c r="M62" s="11">
        <f>159+123</f>
        <v>282</v>
      </c>
      <c r="N62" s="11">
        <f>45+62</f>
        <v>107</v>
      </c>
      <c r="O62" s="11">
        <v>0</v>
      </c>
      <c r="P62" s="11">
        <f>282+107</f>
        <v>389</v>
      </c>
      <c r="Q62" s="11">
        <f>82+57</f>
        <v>139</v>
      </c>
      <c r="R62" s="11">
        <f>19+17</f>
        <v>36</v>
      </c>
      <c r="S62" s="11">
        <f>17+15</f>
        <v>32</v>
      </c>
      <c r="T62" s="11">
        <v>105</v>
      </c>
      <c r="U62" s="11">
        <f>36+27</f>
        <v>63</v>
      </c>
      <c r="V62" s="11">
        <v>11</v>
      </c>
      <c r="W62" s="11">
        <v>3</v>
      </c>
      <c r="X62" s="11">
        <f t="shared" si="3"/>
        <v>389</v>
      </c>
      <c r="Y62" s="11">
        <f>1440+713</f>
        <v>2153</v>
      </c>
      <c r="Z62" s="11">
        <f>784+1551</f>
        <v>2335</v>
      </c>
      <c r="AA62" s="11">
        <f>953+888</f>
        <v>1841</v>
      </c>
      <c r="AB62" s="11">
        <f>80+56</f>
        <v>136</v>
      </c>
      <c r="AC62" s="11">
        <f>1192+185</f>
        <v>1377</v>
      </c>
      <c r="AD62" s="11">
        <v>24</v>
      </c>
      <c r="AE62" s="11">
        <f>572+318</f>
        <v>890</v>
      </c>
      <c r="AF62" s="11">
        <f>68+89</f>
        <v>157</v>
      </c>
      <c r="AG62" s="11">
        <f>17+5</f>
        <v>22</v>
      </c>
      <c r="AH62" s="11">
        <f>107+52</f>
        <v>159</v>
      </c>
      <c r="AI62" s="11">
        <f>81+97</f>
        <v>178</v>
      </c>
      <c r="AJ62" s="11">
        <f>80+71</f>
        <v>151</v>
      </c>
      <c r="AK62" s="11">
        <v>41</v>
      </c>
      <c r="AL62" s="11">
        <v>29</v>
      </c>
      <c r="AM62" s="11">
        <f>119+103</f>
        <v>222</v>
      </c>
      <c r="AN62" s="11">
        <v>19</v>
      </c>
      <c r="AO62" s="11">
        <f>1712+1690</f>
        <v>3402</v>
      </c>
      <c r="AP62" s="11">
        <f>32+14</f>
        <v>46</v>
      </c>
      <c r="AQ62" s="11">
        <f>34+23</f>
        <v>57</v>
      </c>
      <c r="AR62" s="11">
        <v>1</v>
      </c>
      <c r="AS62" s="11">
        <v>20</v>
      </c>
      <c r="AT62" s="11">
        <v>16</v>
      </c>
      <c r="AU62" s="11">
        <f>83+36</f>
        <v>119</v>
      </c>
    </row>
    <row r="63" spans="1:47" x14ac:dyDescent="0.35">
      <c r="A63" s="23" t="s">
        <v>104</v>
      </c>
      <c r="B63" s="17">
        <v>22247</v>
      </c>
      <c r="C63" s="8">
        <f>139+142</f>
        <v>281</v>
      </c>
      <c r="D63" s="8">
        <f>156+159</f>
        <v>315</v>
      </c>
      <c r="E63" s="8">
        <f>133+139</f>
        <v>272</v>
      </c>
      <c r="F63" s="8">
        <v>7</v>
      </c>
      <c r="G63" s="8">
        <v>10</v>
      </c>
      <c r="H63" s="8">
        <v>1</v>
      </c>
      <c r="I63" s="8">
        <v>5</v>
      </c>
      <c r="J63" s="9">
        <v>17</v>
      </c>
      <c r="K63" s="8">
        <v>3</v>
      </c>
      <c r="L63" s="41">
        <f t="shared" si="4"/>
        <v>315</v>
      </c>
      <c r="M63" s="8">
        <f>127+132</f>
        <v>259</v>
      </c>
      <c r="N63" s="8">
        <f>29+27</f>
        <v>56</v>
      </c>
      <c r="O63" s="8">
        <v>0</v>
      </c>
      <c r="P63" s="8">
        <f t="shared" si="2"/>
        <v>315</v>
      </c>
      <c r="Q63" s="8">
        <f>26+24</f>
        <v>50</v>
      </c>
      <c r="R63" s="8">
        <f>23+21</f>
        <v>44</v>
      </c>
      <c r="S63" s="8">
        <f>22+26</f>
        <v>48</v>
      </c>
      <c r="T63" s="8">
        <f>73+68</f>
        <v>141</v>
      </c>
      <c r="U63" s="8">
        <v>18</v>
      </c>
      <c r="V63" s="8">
        <v>6</v>
      </c>
      <c r="W63" s="8">
        <v>8</v>
      </c>
      <c r="X63" s="8">
        <f t="shared" si="3"/>
        <v>315</v>
      </c>
      <c r="Y63" s="8">
        <f>123+136</f>
        <v>259</v>
      </c>
      <c r="Z63" s="8">
        <f>132+128</f>
        <v>260</v>
      </c>
      <c r="AA63" s="8">
        <f>99+87</f>
        <v>186</v>
      </c>
      <c r="AB63" s="8">
        <f>28+31</f>
        <v>59</v>
      </c>
      <c r="AC63" s="8">
        <f>72+67</f>
        <v>139</v>
      </c>
      <c r="AD63" s="8">
        <f>14+16</f>
        <v>30</v>
      </c>
      <c r="AE63" s="8">
        <f>31+34</f>
        <v>65</v>
      </c>
      <c r="AF63" s="8">
        <f>43+41</f>
        <v>84</v>
      </c>
      <c r="AG63" s="8">
        <f>29+27</f>
        <v>56</v>
      </c>
      <c r="AH63" s="8">
        <f>42+39</f>
        <v>81</v>
      </c>
      <c r="AI63" s="8">
        <f>16+18</f>
        <v>34</v>
      </c>
      <c r="AJ63" s="8">
        <f>26+29</f>
        <v>55</v>
      </c>
      <c r="AK63" s="8">
        <v>40</v>
      </c>
      <c r="AL63" s="8">
        <v>40</v>
      </c>
      <c r="AM63" s="8">
        <v>48</v>
      </c>
      <c r="AN63" s="8">
        <v>11</v>
      </c>
      <c r="AO63" s="8">
        <f>3052+3086</f>
        <v>6138</v>
      </c>
      <c r="AP63" s="8">
        <f>41+46</f>
        <v>87</v>
      </c>
      <c r="AQ63" s="8">
        <v>68</v>
      </c>
      <c r="AR63" s="8">
        <v>7</v>
      </c>
      <c r="AS63" s="8">
        <v>6</v>
      </c>
      <c r="AT63" s="8">
        <v>16</v>
      </c>
      <c r="AU63" s="8">
        <f>152+156</f>
        <v>308</v>
      </c>
    </row>
    <row r="64" spans="1:47" x14ac:dyDescent="0.35">
      <c r="A64" s="23" t="s">
        <v>105</v>
      </c>
      <c r="B64" s="16">
        <v>23394</v>
      </c>
      <c r="C64" s="11">
        <f>127+276</f>
        <v>403</v>
      </c>
      <c r="D64" s="11">
        <f>33+43</f>
        <v>76</v>
      </c>
      <c r="E64" s="11">
        <f>17+26</f>
        <v>43</v>
      </c>
      <c r="F64" s="11">
        <v>24</v>
      </c>
      <c r="G64" s="11">
        <v>6</v>
      </c>
      <c r="H64" s="11">
        <v>1</v>
      </c>
      <c r="I64" s="11">
        <v>1</v>
      </c>
      <c r="J64" s="12">
        <v>0</v>
      </c>
      <c r="K64" s="11">
        <v>1</v>
      </c>
      <c r="L64" s="11">
        <f t="shared" si="4"/>
        <v>76</v>
      </c>
      <c r="M64" s="11">
        <v>68</v>
      </c>
      <c r="N64" s="11">
        <v>8</v>
      </c>
      <c r="O64" s="11">
        <v>0</v>
      </c>
      <c r="P64" s="11">
        <f t="shared" si="2"/>
        <v>76</v>
      </c>
      <c r="Q64" s="11">
        <v>3</v>
      </c>
      <c r="R64" s="11">
        <v>0</v>
      </c>
      <c r="S64" s="11">
        <v>9</v>
      </c>
      <c r="T64" s="11">
        <f>18+19</f>
        <v>37</v>
      </c>
      <c r="U64" s="11">
        <f>16+7</f>
        <v>23</v>
      </c>
      <c r="V64" s="11">
        <v>4</v>
      </c>
      <c r="W64" s="11">
        <v>0</v>
      </c>
      <c r="X64" s="11">
        <f t="shared" si="3"/>
        <v>76</v>
      </c>
      <c r="Y64" s="11">
        <f>88+130</f>
        <v>218</v>
      </c>
      <c r="Z64" s="11">
        <f>133+166</f>
        <v>299</v>
      </c>
      <c r="AA64" s="11">
        <v>89</v>
      </c>
      <c r="AB64" s="11">
        <v>1</v>
      </c>
      <c r="AC64" s="11">
        <f>61+107</f>
        <v>168</v>
      </c>
      <c r="AD64" s="11">
        <v>0</v>
      </c>
      <c r="AE64" s="11">
        <v>42</v>
      </c>
      <c r="AF64" s="11">
        <v>0</v>
      </c>
      <c r="AG64" s="11">
        <v>0</v>
      </c>
      <c r="AH64" s="11">
        <v>6</v>
      </c>
      <c r="AI64" s="11">
        <v>0</v>
      </c>
      <c r="AJ64" s="11">
        <v>0</v>
      </c>
      <c r="AK64" s="11">
        <v>0</v>
      </c>
      <c r="AL64" s="11">
        <v>0</v>
      </c>
      <c r="AM64" s="11">
        <f>9+116</f>
        <v>125</v>
      </c>
      <c r="AN64" s="11">
        <v>0</v>
      </c>
      <c r="AO64" s="11">
        <f>255+24</f>
        <v>279</v>
      </c>
      <c r="AP64" s="11">
        <v>27</v>
      </c>
      <c r="AQ64" s="11">
        <f>9+171</f>
        <v>180</v>
      </c>
      <c r="AR64" s="11">
        <v>1</v>
      </c>
      <c r="AS64" s="11">
        <v>10</v>
      </c>
      <c r="AT64" s="11">
        <v>7</v>
      </c>
      <c r="AU64" s="11">
        <f>96+103</f>
        <v>199</v>
      </c>
    </row>
    <row r="65" spans="1:47" x14ac:dyDescent="0.35">
      <c r="A65" s="23" t="s">
        <v>106</v>
      </c>
      <c r="B65" s="17">
        <v>46171</v>
      </c>
      <c r="C65" s="8">
        <f>169+202</f>
        <v>371</v>
      </c>
      <c r="D65" s="8">
        <f>301+261</f>
        <v>562</v>
      </c>
      <c r="E65" s="8">
        <f>235+220</f>
        <v>455</v>
      </c>
      <c r="F65" s="8">
        <f>11+23</f>
        <v>34</v>
      </c>
      <c r="G65" s="8">
        <v>14</v>
      </c>
      <c r="H65" s="8">
        <v>0</v>
      </c>
      <c r="I65" s="8">
        <v>1</v>
      </c>
      <c r="J65" s="9">
        <f>46+9</f>
        <v>55</v>
      </c>
      <c r="K65" s="8">
        <v>3</v>
      </c>
      <c r="L65" s="41">
        <f t="shared" si="4"/>
        <v>562</v>
      </c>
      <c r="M65" s="8">
        <f>261+219</f>
        <v>480</v>
      </c>
      <c r="N65" s="8">
        <f>40+42</f>
        <v>82</v>
      </c>
      <c r="O65" s="8">
        <v>0</v>
      </c>
      <c r="P65" s="8">
        <f t="shared" si="2"/>
        <v>562</v>
      </c>
      <c r="Q65" s="8">
        <v>4</v>
      </c>
      <c r="R65" s="8">
        <v>5</v>
      </c>
      <c r="S65" s="8">
        <v>89</v>
      </c>
      <c r="T65" s="8">
        <f>96+81</f>
        <v>177</v>
      </c>
      <c r="U65" s="8">
        <f>60+79</f>
        <v>139</v>
      </c>
      <c r="V65" s="8">
        <v>69</v>
      </c>
      <c r="W65" s="8">
        <f>53+26</f>
        <v>79</v>
      </c>
      <c r="X65" s="8">
        <f t="shared" si="3"/>
        <v>562</v>
      </c>
      <c r="Y65" s="8">
        <f>359+347</f>
        <v>706</v>
      </c>
      <c r="Z65" s="8">
        <v>28</v>
      </c>
      <c r="AA65" s="8">
        <f>328+288</f>
        <v>616</v>
      </c>
      <c r="AB65" s="8">
        <v>4</v>
      </c>
      <c r="AC65" s="8">
        <f>137+173</f>
        <v>310</v>
      </c>
      <c r="AD65" s="8">
        <v>0</v>
      </c>
      <c r="AE65" s="8">
        <f>137+142</f>
        <v>279</v>
      </c>
      <c r="AF65" s="8">
        <v>14</v>
      </c>
      <c r="AG65" s="8">
        <v>14</v>
      </c>
      <c r="AH65" s="8">
        <v>32</v>
      </c>
      <c r="AI65" s="8">
        <v>14</v>
      </c>
      <c r="AJ65" s="8">
        <v>8</v>
      </c>
      <c r="AK65" s="8">
        <f>65+9</f>
        <v>74</v>
      </c>
      <c r="AL65" s="8">
        <v>31</v>
      </c>
      <c r="AM65" s="8">
        <v>93</v>
      </c>
      <c r="AN65" s="8">
        <v>6</v>
      </c>
      <c r="AO65" s="8">
        <f>246+140</f>
        <v>386</v>
      </c>
      <c r="AP65" s="8">
        <v>10</v>
      </c>
      <c r="AQ65" s="8">
        <v>16</v>
      </c>
      <c r="AR65" s="8">
        <v>2</v>
      </c>
      <c r="AS65" s="8">
        <v>5</v>
      </c>
      <c r="AT65" s="8">
        <v>3</v>
      </c>
      <c r="AU65" s="8">
        <v>9</v>
      </c>
    </row>
    <row r="66" spans="1:47" x14ac:dyDescent="0.35">
      <c r="A66" s="43" t="s">
        <v>107</v>
      </c>
      <c r="B66" s="20">
        <v>1077311</v>
      </c>
      <c r="C66" s="11">
        <f>1973+2312</f>
        <v>4285</v>
      </c>
      <c r="D66" s="11">
        <f>655+720</f>
        <v>1375</v>
      </c>
      <c r="E66" s="11">
        <f>154+159</f>
        <v>313</v>
      </c>
      <c r="F66" s="11">
        <f>329+392</f>
        <v>721</v>
      </c>
      <c r="G66" s="11">
        <f>121+112</f>
        <v>233</v>
      </c>
      <c r="H66" s="11">
        <v>9</v>
      </c>
      <c r="I66" s="11">
        <f>16+17</f>
        <v>33</v>
      </c>
      <c r="J66" s="12">
        <v>7</v>
      </c>
      <c r="K66" s="11">
        <f>26+33</f>
        <v>59</v>
      </c>
      <c r="L66" s="11">
        <f t="shared" si="4"/>
        <v>1375</v>
      </c>
      <c r="M66" s="11">
        <f>623+683</f>
        <v>1306</v>
      </c>
      <c r="N66" s="11">
        <f>32+37</f>
        <v>69</v>
      </c>
      <c r="O66" s="11">
        <v>0</v>
      </c>
      <c r="P66" s="11">
        <f t="shared" si="2"/>
        <v>1375</v>
      </c>
      <c r="Q66" s="11">
        <v>2</v>
      </c>
      <c r="R66" s="11">
        <v>17</v>
      </c>
      <c r="S66" s="11">
        <f>131+152</f>
        <v>283</v>
      </c>
      <c r="T66" s="11">
        <f>316+374</f>
        <v>690</v>
      </c>
      <c r="U66" s="11">
        <f>183+172</f>
        <v>355</v>
      </c>
      <c r="V66" s="11">
        <v>28</v>
      </c>
      <c r="W66" s="11">
        <v>0</v>
      </c>
      <c r="X66" s="11">
        <f t="shared" si="3"/>
        <v>1375</v>
      </c>
      <c r="Y66" s="11">
        <f>3006+3113</f>
        <v>6119</v>
      </c>
      <c r="Z66" s="11">
        <f>2133+1981</f>
        <v>4114</v>
      </c>
      <c r="AA66" s="11">
        <f>2107+2302</f>
        <v>4409</v>
      </c>
      <c r="AB66" s="11">
        <f>85+71</f>
        <v>156</v>
      </c>
      <c r="AC66" s="11">
        <v>0</v>
      </c>
      <c r="AD66" s="11">
        <v>0</v>
      </c>
      <c r="AE66" s="11">
        <f>1846+2312</f>
        <v>4158</v>
      </c>
      <c r="AF66" s="11">
        <v>18</v>
      </c>
      <c r="AG66" s="11">
        <v>0</v>
      </c>
      <c r="AH66" s="11">
        <f>63+87</f>
        <v>150</v>
      </c>
      <c r="AI66" s="11">
        <f>41+18</f>
        <v>59</v>
      </c>
      <c r="AJ66" s="11">
        <v>90</v>
      </c>
      <c r="AK66" s="11">
        <v>24</v>
      </c>
      <c r="AL66" s="11">
        <v>24</v>
      </c>
      <c r="AM66" s="11">
        <f>14+31</f>
        <v>45</v>
      </c>
      <c r="AN66" s="11">
        <f>46+7</f>
        <v>53</v>
      </c>
      <c r="AO66" s="11">
        <f>967+1512</f>
        <v>2479</v>
      </c>
      <c r="AP66" s="11">
        <v>0</v>
      </c>
      <c r="AQ66" s="11">
        <v>0</v>
      </c>
      <c r="AR66" s="11">
        <v>0</v>
      </c>
      <c r="AS66" s="11">
        <v>0</v>
      </c>
      <c r="AT66" s="11">
        <v>0</v>
      </c>
      <c r="AU66" s="11">
        <v>0</v>
      </c>
    </row>
    <row r="67" spans="1:47" x14ac:dyDescent="0.35">
      <c r="A67" s="23" t="s">
        <v>108</v>
      </c>
      <c r="B67" s="19"/>
      <c r="C67" s="8">
        <f>2732+2856</f>
        <v>5588</v>
      </c>
      <c r="D67" s="8">
        <f>516+439</f>
        <v>955</v>
      </c>
      <c r="E67" s="8">
        <f>58+54</f>
        <v>112</v>
      </c>
      <c r="F67" s="8">
        <f>395+347</f>
        <v>742</v>
      </c>
      <c r="G67" s="8">
        <f>46+28</f>
        <v>74</v>
      </c>
      <c r="H67" s="8">
        <v>5</v>
      </c>
      <c r="I67" s="8">
        <v>10</v>
      </c>
      <c r="J67" s="9">
        <v>6</v>
      </c>
      <c r="K67" s="8">
        <v>6</v>
      </c>
      <c r="L67" s="41">
        <f t="shared" si="4"/>
        <v>955</v>
      </c>
      <c r="M67" s="8">
        <f>393+329</f>
        <v>722</v>
      </c>
      <c r="N67" s="8">
        <f>123+110</f>
        <v>233</v>
      </c>
      <c r="O67" s="8">
        <v>0</v>
      </c>
      <c r="P67" s="8">
        <f t="shared" si="2"/>
        <v>955</v>
      </c>
      <c r="Q67" s="8">
        <f>203+178</f>
        <v>381</v>
      </c>
      <c r="R67" s="8">
        <f>31+24</f>
        <v>55</v>
      </c>
      <c r="S67" s="8">
        <f>52+34</f>
        <v>86</v>
      </c>
      <c r="T67" s="8">
        <f>154+131</f>
        <v>285</v>
      </c>
      <c r="U67" s="8">
        <v>144</v>
      </c>
      <c r="V67" s="8">
        <v>4</v>
      </c>
      <c r="W67" s="8">
        <v>0</v>
      </c>
      <c r="X67" s="8">
        <f t="shared" si="3"/>
        <v>955</v>
      </c>
      <c r="Y67" s="8">
        <f>1097+1116</f>
        <v>2213</v>
      </c>
      <c r="Z67" s="8">
        <f>597+792</f>
        <v>1389</v>
      </c>
      <c r="AA67" s="8">
        <f>620+469</f>
        <v>1089</v>
      </c>
      <c r="AB67" s="8">
        <f>98+125</f>
        <v>223</v>
      </c>
      <c r="AC67" s="8">
        <f>2581+2354</f>
        <v>4935</v>
      </c>
      <c r="AD67" s="8">
        <v>0</v>
      </c>
      <c r="AE67" s="8">
        <f>81+73</f>
        <v>154</v>
      </c>
      <c r="AF67" s="8">
        <v>0</v>
      </c>
      <c r="AG67" s="8">
        <v>0</v>
      </c>
      <c r="AH67" s="8">
        <v>0</v>
      </c>
      <c r="AI67" s="8">
        <v>0</v>
      </c>
      <c r="AJ67" s="8">
        <v>0</v>
      </c>
      <c r="AK67" s="8">
        <f>371+48</f>
        <v>419</v>
      </c>
      <c r="AL67" s="8">
        <f>246+24</f>
        <v>270</v>
      </c>
      <c r="AM67" s="8">
        <v>29</v>
      </c>
      <c r="AN67" s="8">
        <v>3</v>
      </c>
      <c r="AO67" s="8">
        <f>2357+1790</f>
        <v>4147</v>
      </c>
      <c r="AP67" s="8">
        <f>234+202</f>
        <v>436</v>
      </c>
      <c r="AQ67" s="8">
        <f>280+234</f>
        <v>514</v>
      </c>
      <c r="AR67" s="8">
        <v>5</v>
      </c>
      <c r="AS67" s="8">
        <f>15+26</f>
        <v>41</v>
      </c>
      <c r="AT67" s="8">
        <f>22+28</f>
        <v>50</v>
      </c>
      <c r="AU67" s="8">
        <f>183+169</f>
        <v>352</v>
      </c>
    </row>
    <row r="68" spans="1:47" x14ac:dyDescent="0.35">
      <c r="A68" s="23" t="s">
        <v>109</v>
      </c>
      <c r="B68" s="16">
        <v>15244</v>
      </c>
      <c r="C68" s="11">
        <f>161+137</f>
        <v>298</v>
      </c>
      <c r="D68" s="11">
        <f>149+119</f>
        <v>268</v>
      </c>
      <c r="E68" s="11">
        <f>131+106</f>
        <v>237</v>
      </c>
      <c r="F68" s="11">
        <v>10</v>
      </c>
      <c r="G68" s="11">
        <v>20</v>
      </c>
      <c r="H68" s="11">
        <v>1</v>
      </c>
      <c r="I68" s="11">
        <v>0</v>
      </c>
      <c r="J68" s="12">
        <v>0</v>
      </c>
      <c r="K68" s="11">
        <v>0</v>
      </c>
      <c r="L68" s="11">
        <f t="shared" si="4"/>
        <v>268</v>
      </c>
      <c r="M68" s="11">
        <f>135+116</f>
        <v>251</v>
      </c>
      <c r="N68" s="11">
        <v>17</v>
      </c>
      <c r="O68" s="11">
        <v>0</v>
      </c>
      <c r="P68" s="11">
        <f t="shared" si="2"/>
        <v>268</v>
      </c>
      <c r="Q68" s="11">
        <v>32</v>
      </c>
      <c r="R68" s="11">
        <v>28</v>
      </c>
      <c r="S68" s="11">
        <v>44</v>
      </c>
      <c r="T68" s="11">
        <f>45+64</f>
        <v>109</v>
      </c>
      <c r="U68" s="11">
        <v>49</v>
      </c>
      <c r="V68" s="11">
        <v>6</v>
      </c>
      <c r="W68" s="11">
        <v>0</v>
      </c>
      <c r="X68" s="11">
        <f t="shared" si="3"/>
        <v>268</v>
      </c>
      <c r="Y68" s="11">
        <f>1621+503</f>
        <v>2124</v>
      </c>
      <c r="Z68" s="11">
        <f>721+342</f>
        <v>1063</v>
      </c>
      <c r="AA68" s="11">
        <f>1301+948</f>
        <v>2249</v>
      </c>
      <c r="AB68" s="11">
        <f>125+173</f>
        <v>298</v>
      </c>
      <c r="AC68" s="11">
        <v>0</v>
      </c>
      <c r="AD68" s="11">
        <v>14</v>
      </c>
      <c r="AE68" s="11">
        <v>25</v>
      </c>
      <c r="AF68" s="11">
        <v>133</v>
      </c>
      <c r="AG68" s="11">
        <v>71</v>
      </c>
      <c r="AH68" s="11">
        <v>44</v>
      </c>
      <c r="AI68" s="11">
        <v>68</v>
      </c>
      <c r="AJ68" s="11">
        <v>97</v>
      </c>
      <c r="AK68" s="11">
        <v>24</v>
      </c>
      <c r="AL68" s="11">
        <v>0</v>
      </c>
      <c r="AM68" s="11">
        <v>79</v>
      </c>
      <c r="AN68" s="11">
        <v>6</v>
      </c>
      <c r="AO68" s="11">
        <f>6121+2568</f>
        <v>8689</v>
      </c>
      <c r="AP68" s="11">
        <v>13</v>
      </c>
      <c r="AQ68" s="11">
        <v>39</v>
      </c>
      <c r="AR68" s="11">
        <v>4</v>
      </c>
      <c r="AS68" s="11">
        <v>2</v>
      </c>
      <c r="AT68" s="11">
        <v>2</v>
      </c>
      <c r="AU68" s="11">
        <v>6</v>
      </c>
    </row>
    <row r="69" spans="1:47" x14ac:dyDescent="0.35">
      <c r="A69" s="23" t="s">
        <v>110</v>
      </c>
      <c r="B69" s="17">
        <v>27845</v>
      </c>
      <c r="C69" s="8">
        <v>17</v>
      </c>
      <c r="D69" s="8">
        <v>105</v>
      </c>
      <c r="E69" s="8">
        <f>38+35</f>
        <v>73</v>
      </c>
      <c r="F69" s="8">
        <v>16</v>
      </c>
      <c r="G69" s="8">
        <v>16</v>
      </c>
      <c r="H69" s="8">
        <v>0</v>
      </c>
      <c r="I69" s="8">
        <v>0</v>
      </c>
      <c r="J69" s="9">
        <v>0</v>
      </c>
      <c r="K69" s="8">
        <v>0</v>
      </c>
      <c r="L69" s="41">
        <f t="shared" si="4"/>
        <v>105</v>
      </c>
      <c r="M69" s="8">
        <f>33+35</f>
        <v>68</v>
      </c>
      <c r="N69" s="8">
        <f>22+15</f>
        <v>37</v>
      </c>
      <c r="O69" s="8">
        <v>0</v>
      </c>
      <c r="P69" s="8">
        <f t="shared" ref="P69:P109" si="5">SUM(M69:O69)</f>
        <v>105</v>
      </c>
      <c r="Q69" s="8">
        <f>27+18</f>
        <v>45</v>
      </c>
      <c r="R69" s="8">
        <v>11</v>
      </c>
      <c r="S69" s="8">
        <v>6</v>
      </c>
      <c r="T69" s="8">
        <v>27</v>
      </c>
      <c r="U69" s="8">
        <v>8</v>
      </c>
      <c r="V69" s="8">
        <v>8</v>
      </c>
      <c r="W69" s="8">
        <v>0</v>
      </c>
      <c r="X69" s="8">
        <f t="shared" ref="X69:X109" si="6">SUM(Q69:W69)</f>
        <v>105</v>
      </c>
      <c r="Y69" s="8">
        <f>61+46</f>
        <v>107</v>
      </c>
      <c r="Z69" s="8">
        <f>85+68</f>
        <v>153</v>
      </c>
      <c r="AA69" s="8">
        <f>11+29</f>
        <v>40</v>
      </c>
      <c r="AB69" s="8">
        <v>7</v>
      </c>
      <c r="AC69" s="8">
        <v>15</v>
      </c>
      <c r="AD69" s="8">
        <v>0</v>
      </c>
      <c r="AE69" s="8">
        <v>21</v>
      </c>
      <c r="AF69" s="8">
        <v>3</v>
      </c>
      <c r="AG69" s="8">
        <v>2</v>
      </c>
      <c r="AH69" s="8">
        <v>3</v>
      </c>
      <c r="AI69" s="8">
        <v>2</v>
      </c>
      <c r="AJ69" s="8">
        <v>1</v>
      </c>
      <c r="AK69" s="8">
        <v>10</v>
      </c>
      <c r="AL69" s="8">
        <v>0</v>
      </c>
      <c r="AM69" s="8">
        <v>14</v>
      </c>
      <c r="AN69" s="8">
        <v>1</v>
      </c>
      <c r="AO69" s="8">
        <f>14+67</f>
        <v>81</v>
      </c>
      <c r="AP69" s="8">
        <v>3</v>
      </c>
      <c r="AQ69" s="8">
        <v>3</v>
      </c>
      <c r="AR69" s="8">
        <v>0</v>
      </c>
      <c r="AS69" s="8">
        <v>1</v>
      </c>
      <c r="AT69" s="8">
        <v>0</v>
      </c>
      <c r="AU69" s="8">
        <v>0</v>
      </c>
    </row>
    <row r="70" spans="1:47" x14ac:dyDescent="0.35">
      <c r="A70" s="23" t="s">
        <v>111</v>
      </c>
      <c r="B70" s="16">
        <v>97554</v>
      </c>
      <c r="C70" s="11">
        <f>446+528</f>
        <v>974</v>
      </c>
      <c r="D70" s="11">
        <f>192+364</f>
        <v>556</v>
      </c>
      <c r="E70" s="11">
        <f>131+233</f>
        <v>364</v>
      </c>
      <c r="F70" s="11">
        <f>47+90</f>
        <v>137</v>
      </c>
      <c r="G70" s="11">
        <v>24</v>
      </c>
      <c r="H70" s="11">
        <v>4</v>
      </c>
      <c r="I70" s="11">
        <v>3</v>
      </c>
      <c r="J70" s="12">
        <v>20</v>
      </c>
      <c r="K70" s="11">
        <v>4</v>
      </c>
      <c r="L70" s="11">
        <f t="shared" si="4"/>
        <v>556</v>
      </c>
      <c r="M70" s="11">
        <f>154+279</f>
        <v>433</v>
      </c>
      <c r="N70" s="11">
        <f>38+85</f>
        <v>123</v>
      </c>
      <c r="O70" s="11">
        <v>0</v>
      </c>
      <c r="P70" s="11">
        <f t="shared" si="5"/>
        <v>556</v>
      </c>
      <c r="Q70" s="11">
        <f>9+26</f>
        <v>35</v>
      </c>
      <c r="R70" s="11">
        <v>20</v>
      </c>
      <c r="S70" s="11">
        <f>38+31</f>
        <v>69</v>
      </c>
      <c r="T70" s="11">
        <f>106+132</f>
        <v>238</v>
      </c>
      <c r="U70" s="11">
        <f>27+88</f>
        <v>115</v>
      </c>
      <c r="V70" s="11">
        <f>28+7</f>
        <v>35</v>
      </c>
      <c r="W70" s="11">
        <v>44</v>
      </c>
      <c r="X70" s="11">
        <f t="shared" si="6"/>
        <v>556</v>
      </c>
      <c r="Y70" s="11">
        <f>218+564</f>
        <v>782</v>
      </c>
      <c r="Z70" s="11">
        <f>294+1746</f>
        <v>2040</v>
      </c>
      <c r="AA70" s="11">
        <f>104+453</f>
        <v>557</v>
      </c>
      <c r="AB70" s="11">
        <f>27+132</f>
        <v>159</v>
      </c>
      <c r="AC70" s="11">
        <f>1043+1575</f>
        <v>2618</v>
      </c>
      <c r="AD70" s="11">
        <v>12</v>
      </c>
      <c r="AE70" s="11">
        <f>202+146</f>
        <v>348</v>
      </c>
      <c r="AF70" s="11">
        <v>8</v>
      </c>
      <c r="AG70" s="11">
        <v>20</v>
      </c>
      <c r="AH70" s="11">
        <v>11</v>
      </c>
      <c r="AI70" s="11">
        <v>5</v>
      </c>
      <c r="AJ70" s="11">
        <v>0</v>
      </c>
      <c r="AK70" s="11">
        <f>341+98</f>
        <v>439</v>
      </c>
      <c r="AL70" s="11">
        <f>120+46</f>
        <v>166</v>
      </c>
      <c r="AM70" s="11">
        <v>24</v>
      </c>
      <c r="AN70" s="11">
        <v>1</v>
      </c>
      <c r="AO70" s="11">
        <f>1959+523</f>
        <v>2482</v>
      </c>
      <c r="AP70" s="11">
        <f>14+24</f>
        <v>38</v>
      </c>
      <c r="AQ70" s="11">
        <f>38+29</f>
        <v>67</v>
      </c>
      <c r="AR70" s="11">
        <v>0</v>
      </c>
      <c r="AS70" s="11">
        <v>8</v>
      </c>
      <c r="AT70" s="11">
        <v>11</v>
      </c>
      <c r="AU70" s="11">
        <v>11</v>
      </c>
    </row>
    <row r="71" spans="1:47" x14ac:dyDescent="0.35">
      <c r="A71" s="23" t="s">
        <v>112</v>
      </c>
      <c r="B71" s="17">
        <v>95063</v>
      </c>
      <c r="C71" s="8">
        <f>351+253</f>
        <v>604</v>
      </c>
      <c r="D71" s="8">
        <v>598</v>
      </c>
      <c r="E71" s="8">
        <f>129+117</f>
        <v>246</v>
      </c>
      <c r="F71" s="8">
        <f>146+149</f>
        <v>295</v>
      </c>
      <c r="G71" s="8">
        <f>23+19</f>
        <v>42</v>
      </c>
      <c r="H71" s="8">
        <v>3</v>
      </c>
      <c r="I71" s="8">
        <v>5</v>
      </c>
      <c r="J71" s="9">
        <v>0</v>
      </c>
      <c r="K71" s="8">
        <v>7</v>
      </c>
      <c r="L71" s="41">
        <f t="shared" si="4"/>
        <v>598</v>
      </c>
      <c r="M71" s="8">
        <f>271+264</f>
        <v>535</v>
      </c>
      <c r="N71" s="8">
        <f>28+35</f>
        <v>63</v>
      </c>
      <c r="O71" s="8">
        <v>0</v>
      </c>
      <c r="P71" s="8">
        <f t="shared" si="5"/>
        <v>598</v>
      </c>
      <c r="Q71" s="8">
        <v>0</v>
      </c>
      <c r="R71" s="8">
        <v>4</v>
      </c>
      <c r="S71" s="8">
        <f>53+45</f>
        <v>98</v>
      </c>
      <c r="T71" s="8">
        <f>136+143</f>
        <v>279</v>
      </c>
      <c r="U71" s="8">
        <f>93+79</f>
        <v>172</v>
      </c>
      <c r="V71" s="8">
        <f>16+29</f>
        <v>45</v>
      </c>
      <c r="W71" s="8">
        <v>0</v>
      </c>
      <c r="X71" s="8">
        <f t="shared" si="6"/>
        <v>598</v>
      </c>
      <c r="Y71" s="8">
        <f>1620+946</f>
        <v>2566</v>
      </c>
      <c r="Z71" s="8">
        <f>990+818</f>
        <v>1808</v>
      </c>
      <c r="AA71" s="8">
        <f>1027+462</f>
        <v>1489</v>
      </c>
      <c r="AB71" s="8">
        <v>30</v>
      </c>
      <c r="AC71" s="8">
        <f>316+7</f>
        <v>323</v>
      </c>
      <c r="AD71" s="8">
        <v>2</v>
      </c>
      <c r="AE71" s="8">
        <f>242+197</f>
        <v>439</v>
      </c>
      <c r="AF71" s="8">
        <v>2</v>
      </c>
      <c r="AG71" s="8">
        <v>2</v>
      </c>
      <c r="AH71" s="8">
        <v>5</v>
      </c>
      <c r="AI71" s="8">
        <v>7</v>
      </c>
      <c r="AJ71" s="8">
        <v>2</v>
      </c>
      <c r="AK71" s="8">
        <v>52</v>
      </c>
      <c r="AL71" s="8">
        <v>13</v>
      </c>
      <c r="AM71" s="8">
        <f>19+29</f>
        <v>48</v>
      </c>
      <c r="AN71" s="8">
        <v>9</v>
      </c>
      <c r="AO71" s="8">
        <f>2790+3428</f>
        <v>6218</v>
      </c>
      <c r="AP71" s="8">
        <f>29+25</f>
        <v>54</v>
      </c>
      <c r="AQ71" s="8">
        <f>37+46</f>
        <v>83</v>
      </c>
      <c r="AR71" s="8">
        <v>0</v>
      </c>
      <c r="AS71" s="8">
        <v>3</v>
      </c>
      <c r="AT71" s="8">
        <v>0</v>
      </c>
      <c r="AU71" s="8">
        <v>0</v>
      </c>
    </row>
    <row r="72" spans="1:47" x14ac:dyDescent="0.35">
      <c r="A72" s="23" t="s">
        <v>113</v>
      </c>
      <c r="B72" s="16">
        <v>229501</v>
      </c>
      <c r="C72" s="11">
        <f>1217+958</f>
        <v>2175</v>
      </c>
      <c r="D72" s="11">
        <f>724+572</f>
        <v>1296</v>
      </c>
      <c r="E72" s="11">
        <f>272+231</f>
        <v>503</v>
      </c>
      <c r="F72" s="11">
        <f>270+206</f>
        <v>476</v>
      </c>
      <c r="G72" s="11">
        <f>110+72</f>
        <v>182</v>
      </c>
      <c r="H72" s="11">
        <v>4</v>
      </c>
      <c r="I72" s="11">
        <v>8</v>
      </c>
      <c r="J72" s="12">
        <v>91</v>
      </c>
      <c r="K72" s="11">
        <v>32</v>
      </c>
      <c r="L72" s="11">
        <f t="shared" si="4"/>
        <v>1296</v>
      </c>
      <c r="M72" s="11">
        <f>637+529</f>
        <v>1166</v>
      </c>
      <c r="N72" s="11">
        <f>87+43</f>
        <v>130</v>
      </c>
      <c r="O72" s="11">
        <v>0</v>
      </c>
      <c r="P72" s="11">
        <f t="shared" si="5"/>
        <v>1296</v>
      </c>
      <c r="Q72" s="11">
        <f>117+65</f>
        <v>182</v>
      </c>
      <c r="R72" s="11">
        <v>41</v>
      </c>
      <c r="S72" s="11">
        <f>70+61</f>
        <v>131</v>
      </c>
      <c r="T72" s="11">
        <f>295+246</f>
        <v>541</v>
      </c>
      <c r="U72" s="11">
        <f>162+144</f>
        <v>306</v>
      </c>
      <c r="V72" s="11">
        <v>40</v>
      </c>
      <c r="W72" s="11">
        <f>28+27</f>
        <v>55</v>
      </c>
      <c r="X72" s="11">
        <f t="shared" si="6"/>
        <v>1296</v>
      </c>
      <c r="Y72" s="11">
        <f>2089+2355</f>
        <v>4444</v>
      </c>
      <c r="Z72" s="11">
        <f>324+216</f>
        <v>540</v>
      </c>
      <c r="AA72" s="11">
        <f>808+823</f>
        <v>1631</v>
      </c>
      <c r="AB72" s="11">
        <f>992+1487</f>
        <v>2479</v>
      </c>
      <c r="AC72" s="11">
        <f>95+155</f>
        <v>250</v>
      </c>
      <c r="AD72" s="11">
        <v>21</v>
      </c>
      <c r="AE72" s="11">
        <f>449+688</f>
        <v>1137</v>
      </c>
      <c r="AF72" s="11">
        <f>124+102</f>
        <v>226</v>
      </c>
      <c r="AG72" s="11">
        <f>35+41</f>
        <v>76</v>
      </c>
      <c r="AH72" s="11">
        <f>216+249</f>
        <v>465</v>
      </c>
      <c r="AI72" s="11">
        <f>249+299</f>
        <v>548</v>
      </c>
      <c r="AJ72" s="11">
        <f>115+80</f>
        <v>195</v>
      </c>
      <c r="AK72" s="11">
        <f>65+94</f>
        <v>159</v>
      </c>
      <c r="AL72" s="11">
        <f>21+13</f>
        <v>34</v>
      </c>
      <c r="AM72" s="11">
        <f>70+58</f>
        <v>128</v>
      </c>
      <c r="AN72" s="11">
        <f>15+25</f>
        <v>40</v>
      </c>
      <c r="AO72" s="11">
        <f>8405+11656</f>
        <v>20061</v>
      </c>
      <c r="AP72" s="11">
        <f>56+47</f>
        <v>103</v>
      </c>
      <c r="AQ72" s="11">
        <f>60+62</f>
        <v>122</v>
      </c>
      <c r="AR72" s="11">
        <v>7</v>
      </c>
      <c r="AS72" s="11">
        <f>17+94</f>
        <v>111</v>
      </c>
      <c r="AT72" s="11">
        <v>5</v>
      </c>
      <c r="AU72" s="11">
        <f>39+122</f>
        <v>161</v>
      </c>
    </row>
    <row r="73" spans="1:47" x14ac:dyDescent="0.35">
      <c r="A73" s="23" t="s">
        <v>114</v>
      </c>
      <c r="B73" s="17">
        <v>20908</v>
      </c>
      <c r="C73" s="8">
        <f>163+99</f>
        <v>262</v>
      </c>
      <c r="D73" s="8">
        <f>228+83</f>
        <v>311</v>
      </c>
      <c r="E73" s="8">
        <f>67+7</f>
        <v>74</v>
      </c>
      <c r="F73" s="8">
        <f>161+76</f>
        <v>237</v>
      </c>
      <c r="G73" s="8">
        <v>0</v>
      </c>
      <c r="H73" s="8">
        <v>0</v>
      </c>
      <c r="I73" s="8">
        <v>0</v>
      </c>
      <c r="J73" s="9">
        <v>0</v>
      </c>
      <c r="K73" s="8">
        <v>0</v>
      </c>
      <c r="L73" s="41">
        <f t="shared" si="4"/>
        <v>311</v>
      </c>
      <c r="M73" s="8">
        <f>222+83</f>
        <v>305</v>
      </c>
      <c r="N73" s="8">
        <v>6</v>
      </c>
      <c r="O73" s="8">
        <v>0</v>
      </c>
      <c r="P73" s="8">
        <f t="shared" si="5"/>
        <v>311</v>
      </c>
      <c r="Q73" s="8">
        <v>0</v>
      </c>
      <c r="R73" s="8">
        <v>4</v>
      </c>
      <c r="S73" s="8">
        <f>88+47</f>
        <v>135</v>
      </c>
      <c r="T73" s="8">
        <f>111+21</f>
        <v>132</v>
      </c>
      <c r="U73" s="8">
        <f>24+13</f>
        <v>37</v>
      </c>
      <c r="V73" s="8">
        <v>3</v>
      </c>
      <c r="W73" s="8">
        <v>0</v>
      </c>
      <c r="X73" s="8">
        <f t="shared" si="6"/>
        <v>311</v>
      </c>
      <c r="Y73" s="8">
        <f>303+148</f>
        <v>451</v>
      </c>
      <c r="Z73" s="8">
        <f>172+125</f>
        <v>297</v>
      </c>
      <c r="AA73" s="8">
        <v>39</v>
      </c>
      <c r="AB73" s="8">
        <v>28</v>
      </c>
      <c r="AC73" s="8">
        <v>10</v>
      </c>
      <c r="AD73" s="8">
        <v>8</v>
      </c>
      <c r="AE73" s="8">
        <f>209+76</f>
        <v>285</v>
      </c>
      <c r="AF73" s="8">
        <v>24</v>
      </c>
      <c r="AG73" s="8">
        <v>8</v>
      </c>
      <c r="AH73" s="8">
        <v>5</v>
      </c>
      <c r="AI73" s="8">
        <v>12</v>
      </c>
      <c r="AJ73" s="8">
        <v>12</v>
      </c>
      <c r="AK73" s="8">
        <v>4</v>
      </c>
      <c r="AL73" s="8">
        <v>0</v>
      </c>
      <c r="AM73" s="8">
        <v>8</v>
      </c>
      <c r="AN73" s="8">
        <v>4</v>
      </c>
      <c r="AO73" s="8">
        <f>1496+1496</f>
        <v>2992</v>
      </c>
      <c r="AP73" s="8">
        <v>16</v>
      </c>
      <c r="AQ73" s="8">
        <v>42</v>
      </c>
      <c r="AR73" s="8">
        <v>3</v>
      </c>
      <c r="AS73" s="8">
        <v>0</v>
      </c>
      <c r="AT73" s="8">
        <v>0</v>
      </c>
      <c r="AU73" s="8">
        <v>0</v>
      </c>
    </row>
    <row r="74" spans="1:47" x14ac:dyDescent="0.35">
      <c r="A74" s="23" t="s">
        <v>115</v>
      </c>
      <c r="B74" s="18">
        <v>196793</v>
      </c>
      <c r="C74" s="11">
        <f>574+458</f>
        <v>1032</v>
      </c>
      <c r="D74" s="11">
        <f>264+245</f>
        <v>509</v>
      </c>
      <c r="E74" s="11">
        <f>112+130</f>
        <v>242</v>
      </c>
      <c r="F74" s="11">
        <f>108+75</f>
        <v>183</v>
      </c>
      <c r="G74" s="11">
        <v>36</v>
      </c>
      <c r="H74" s="11">
        <v>2</v>
      </c>
      <c r="I74" s="11">
        <v>0</v>
      </c>
      <c r="J74" s="12">
        <v>38</v>
      </c>
      <c r="K74" s="11">
        <v>8</v>
      </c>
      <c r="L74" s="11">
        <f t="shared" ref="L74:L109" si="7">SUM(E74:K74)</f>
        <v>509</v>
      </c>
      <c r="M74" s="11">
        <f>238+215</f>
        <v>453</v>
      </c>
      <c r="N74" s="11">
        <f>26+30</f>
        <v>56</v>
      </c>
      <c r="O74" s="11">
        <v>0</v>
      </c>
      <c r="P74" s="11">
        <f t="shared" si="5"/>
        <v>509</v>
      </c>
      <c r="Q74" s="11">
        <f>56+39</f>
        <v>95</v>
      </c>
      <c r="R74" s="11">
        <v>11</v>
      </c>
      <c r="S74" s="11">
        <f>62+34</f>
        <v>96</v>
      </c>
      <c r="T74" s="11">
        <f>59+107</f>
        <v>166</v>
      </c>
      <c r="U74" s="11">
        <f>53+27</f>
        <v>80</v>
      </c>
      <c r="V74" s="11">
        <v>8</v>
      </c>
      <c r="W74" s="11">
        <f>28+25</f>
        <v>53</v>
      </c>
      <c r="X74" s="11">
        <f t="shared" si="6"/>
        <v>509</v>
      </c>
      <c r="Y74" s="11">
        <f>316+399</f>
        <v>715</v>
      </c>
      <c r="Z74" s="11">
        <f>207+129</f>
        <v>336</v>
      </c>
      <c r="AA74" s="11">
        <f>185+118</f>
        <v>303</v>
      </c>
      <c r="AB74" s="11">
        <f>46+23</f>
        <v>69</v>
      </c>
      <c r="AC74" s="11">
        <v>17</v>
      </c>
      <c r="AD74" s="11">
        <v>6</v>
      </c>
      <c r="AE74" s="11">
        <f>97+78</f>
        <v>175</v>
      </c>
      <c r="AF74" s="11">
        <v>6</v>
      </c>
      <c r="AG74" s="11">
        <v>10</v>
      </c>
      <c r="AH74" s="11">
        <v>76</v>
      </c>
      <c r="AI74" s="11">
        <v>0</v>
      </c>
      <c r="AJ74" s="11">
        <v>0</v>
      </c>
      <c r="AK74" s="11">
        <v>9</v>
      </c>
      <c r="AL74" s="11">
        <v>0</v>
      </c>
      <c r="AM74" s="11">
        <v>21</v>
      </c>
      <c r="AN74" s="11">
        <v>3</v>
      </c>
      <c r="AO74" s="11">
        <f>835+789</f>
        <v>1624</v>
      </c>
      <c r="AP74" s="11">
        <v>21</v>
      </c>
      <c r="AQ74" s="11">
        <v>10</v>
      </c>
      <c r="AR74" s="11">
        <v>0</v>
      </c>
      <c r="AS74" s="11">
        <v>0</v>
      </c>
      <c r="AT74" s="11">
        <v>0</v>
      </c>
      <c r="AU74" s="11">
        <v>0</v>
      </c>
    </row>
    <row r="75" spans="1:47" x14ac:dyDescent="0.35">
      <c r="A75" s="23" t="s">
        <v>116</v>
      </c>
      <c r="B75" s="17">
        <v>142830</v>
      </c>
      <c r="C75" s="8">
        <f>1126+1435</f>
        <v>2561</v>
      </c>
      <c r="D75" s="8">
        <f>202+286</f>
        <v>488</v>
      </c>
      <c r="E75" s="8">
        <f>52+57</f>
        <v>109</v>
      </c>
      <c r="F75" s="8">
        <f>28+48</f>
        <v>76</v>
      </c>
      <c r="G75" s="8">
        <f>84+53</f>
        <v>137</v>
      </c>
      <c r="H75" s="8">
        <v>1</v>
      </c>
      <c r="I75" s="8">
        <v>21</v>
      </c>
      <c r="J75" s="9">
        <f>29+111</f>
        <v>140</v>
      </c>
      <c r="K75" s="8">
        <v>4</v>
      </c>
      <c r="L75" s="41">
        <f t="shared" si="7"/>
        <v>488</v>
      </c>
      <c r="M75" s="8">
        <f>192+276</f>
        <v>468</v>
      </c>
      <c r="N75" s="8">
        <v>20</v>
      </c>
      <c r="O75" s="8">
        <v>0</v>
      </c>
      <c r="P75" s="8">
        <f t="shared" si="5"/>
        <v>488</v>
      </c>
      <c r="Q75" s="8">
        <v>15</v>
      </c>
      <c r="R75" s="8">
        <v>1</v>
      </c>
      <c r="S75" s="8">
        <v>15</v>
      </c>
      <c r="T75" s="8">
        <f>54+86</f>
        <v>140</v>
      </c>
      <c r="U75" s="8">
        <v>53</v>
      </c>
      <c r="V75" s="8">
        <v>4</v>
      </c>
      <c r="W75" s="8">
        <f>104+156</f>
        <v>260</v>
      </c>
      <c r="X75" s="8">
        <f t="shared" si="6"/>
        <v>488</v>
      </c>
      <c r="Y75" s="8">
        <f>1729+2219</f>
        <v>3948</v>
      </c>
      <c r="Z75" s="8">
        <f>333+436</f>
        <v>769</v>
      </c>
      <c r="AA75" s="8">
        <f>330+296</f>
        <v>626</v>
      </c>
      <c r="AB75" s="8">
        <v>31</v>
      </c>
      <c r="AC75" s="8">
        <f>1201+1489</f>
        <v>2690</v>
      </c>
      <c r="AD75" s="8">
        <v>0</v>
      </c>
      <c r="AE75" s="8">
        <f>293+281</f>
        <v>574</v>
      </c>
      <c r="AF75" s="8">
        <f>25+47</f>
        <v>72</v>
      </c>
      <c r="AG75" s="8">
        <v>9</v>
      </c>
      <c r="AH75" s="8">
        <f>14+77</f>
        <v>91</v>
      </c>
      <c r="AI75" s="8">
        <f>67+58</f>
        <v>125</v>
      </c>
      <c r="AJ75" s="8">
        <v>10</v>
      </c>
      <c r="AK75" s="8">
        <f>46+42</f>
        <v>88</v>
      </c>
      <c r="AL75" s="8">
        <v>12</v>
      </c>
      <c r="AM75" s="8">
        <f>56+108</f>
        <v>164</v>
      </c>
      <c r="AN75" s="8">
        <v>13</v>
      </c>
      <c r="AO75" s="8">
        <f>4164+4634</f>
        <v>8798</v>
      </c>
      <c r="AP75" s="8">
        <v>5</v>
      </c>
      <c r="AQ75" s="8">
        <v>15</v>
      </c>
      <c r="AR75" s="8">
        <v>1</v>
      </c>
      <c r="AS75" s="8">
        <v>18</v>
      </c>
      <c r="AT75" s="8">
        <f>126+126</f>
        <v>252</v>
      </c>
      <c r="AU75" s="8">
        <v>0</v>
      </c>
    </row>
    <row r="76" spans="1:47" x14ac:dyDescent="0.35">
      <c r="A76" s="23" t="s">
        <v>117</v>
      </c>
      <c r="B76" s="16">
        <v>13288</v>
      </c>
      <c r="C76" s="11">
        <v>11</v>
      </c>
      <c r="D76" s="11">
        <f>34+27</f>
        <v>61</v>
      </c>
      <c r="E76" s="11">
        <v>55</v>
      </c>
      <c r="F76" s="11">
        <v>6</v>
      </c>
      <c r="G76" s="11">
        <v>0</v>
      </c>
      <c r="H76" s="11">
        <v>0</v>
      </c>
      <c r="I76" s="11">
        <v>0</v>
      </c>
      <c r="J76" s="12">
        <v>0</v>
      </c>
      <c r="K76" s="11">
        <v>0</v>
      </c>
      <c r="L76" s="11">
        <f t="shared" si="7"/>
        <v>61</v>
      </c>
      <c r="M76" s="11">
        <v>37</v>
      </c>
      <c r="N76" s="11">
        <v>24</v>
      </c>
      <c r="O76" s="11">
        <v>0</v>
      </c>
      <c r="P76" s="11">
        <f t="shared" si="5"/>
        <v>61</v>
      </c>
      <c r="Q76" s="11">
        <v>27</v>
      </c>
      <c r="R76" s="11">
        <v>4</v>
      </c>
      <c r="S76" s="11">
        <v>1</v>
      </c>
      <c r="T76" s="11">
        <v>20</v>
      </c>
      <c r="U76" s="11">
        <v>6</v>
      </c>
      <c r="V76" s="11">
        <v>3</v>
      </c>
      <c r="W76" s="11">
        <v>0</v>
      </c>
      <c r="X76" s="11">
        <f t="shared" si="6"/>
        <v>61</v>
      </c>
      <c r="Y76" s="11">
        <f>85+94</f>
        <v>179</v>
      </c>
      <c r="Z76" s="11">
        <f>62+47</f>
        <v>109</v>
      </c>
      <c r="AA76" s="11">
        <f>58+44</f>
        <v>102</v>
      </c>
      <c r="AB76" s="11">
        <v>19</v>
      </c>
      <c r="AC76" s="11">
        <v>68</v>
      </c>
      <c r="AD76" s="11">
        <v>0</v>
      </c>
      <c r="AE76" s="11">
        <v>45</v>
      </c>
      <c r="AF76" s="11">
        <v>0</v>
      </c>
      <c r="AG76" s="11">
        <v>0</v>
      </c>
      <c r="AH76" s="11">
        <v>38</v>
      </c>
      <c r="AI76" s="11">
        <v>0</v>
      </c>
      <c r="AJ76" s="11">
        <v>0</v>
      </c>
      <c r="AK76" s="11">
        <v>0</v>
      </c>
      <c r="AL76" s="11">
        <v>0</v>
      </c>
      <c r="AM76" s="11">
        <v>1</v>
      </c>
      <c r="AN76" s="11">
        <v>1</v>
      </c>
      <c r="AO76" s="11">
        <v>0</v>
      </c>
      <c r="AP76" s="11">
        <v>0</v>
      </c>
      <c r="AQ76" s="11">
        <v>0</v>
      </c>
      <c r="AR76" s="11">
        <v>0</v>
      </c>
      <c r="AS76" s="11">
        <v>0</v>
      </c>
      <c r="AT76" s="11">
        <v>1</v>
      </c>
      <c r="AU76" s="11">
        <v>0</v>
      </c>
    </row>
    <row r="77" spans="1:47" x14ac:dyDescent="0.35">
      <c r="A77" s="23" t="s">
        <v>118</v>
      </c>
      <c r="B77" s="17">
        <v>39842</v>
      </c>
      <c r="C77" s="8">
        <f>194+155</f>
        <v>349</v>
      </c>
      <c r="D77" s="8">
        <f>156+81</f>
        <v>237</v>
      </c>
      <c r="E77" s="8">
        <f>78+47</f>
        <v>125</v>
      </c>
      <c r="F77" s="8">
        <v>70</v>
      </c>
      <c r="G77" s="8">
        <v>32</v>
      </c>
      <c r="H77" s="8">
        <v>0</v>
      </c>
      <c r="I77" s="8">
        <v>3</v>
      </c>
      <c r="J77" s="9">
        <v>0</v>
      </c>
      <c r="K77" s="8">
        <v>7</v>
      </c>
      <c r="L77" s="41">
        <f t="shared" si="7"/>
        <v>237</v>
      </c>
      <c r="M77" s="8">
        <f>134+71</f>
        <v>205</v>
      </c>
      <c r="N77" s="8">
        <v>32</v>
      </c>
      <c r="O77" s="8">
        <v>0</v>
      </c>
      <c r="P77" s="8">
        <f t="shared" si="5"/>
        <v>237</v>
      </c>
      <c r="Q77" s="8">
        <f>34+12</f>
        <v>46</v>
      </c>
      <c r="R77" s="8">
        <v>11</v>
      </c>
      <c r="S77" s="8">
        <f>27+15</f>
        <v>42</v>
      </c>
      <c r="T77" s="8">
        <f>44+23</f>
        <v>67</v>
      </c>
      <c r="U77" s="8">
        <f>35+26</f>
        <v>61</v>
      </c>
      <c r="V77" s="8">
        <v>7</v>
      </c>
      <c r="W77" s="8">
        <v>3</v>
      </c>
      <c r="X77" s="8">
        <f t="shared" si="6"/>
        <v>237</v>
      </c>
      <c r="Y77" s="8">
        <f>491+482</f>
        <v>973</v>
      </c>
      <c r="Z77" s="8">
        <f>194+222</f>
        <v>416</v>
      </c>
      <c r="AA77" s="8">
        <f>419+472</f>
        <v>891</v>
      </c>
      <c r="AB77" s="8">
        <f>187+285</f>
        <v>472</v>
      </c>
      <c r="AC77" s="8">
        <f>626+765</f>
        <v>1391</v>
      </c>
      <c r="AD77" s="8">
        <v>1</v>
      </c>
      <c r="AE77" s="8">
        <f>153+95</f>
        <v>248</v>
      </c>
      <c r="AF77" s="8">
        <v>0</v>
      </c>
      <c r="AG77" s="8">
        <v>0</v>
      </c>
      <c r="AH77" s="8">
        <v>0</v>
      </c>
      <c r="AI77" s="8">
        <v>0</v>
      </c>
      <c r="AJ77" s="8">
        <v>0</v>
      </c>
      <c r="AK77" s="8">
        <v>29</v>
      </c>
      <c r="AL77" s="8">
        <v>31</v>
      </c>
      <c r="AM77" s="8">
        <f>41+52</f>
        <v>93</v>
      </c>
      <c r="AN77" s="8">
        <v>6</v>
      </c>
      <c r="AO77" s="8">
        <f>657+432</f>
        <v>1089</v>
      </c>
      <c r="AP77" s="8">
        <f>43+42</f>
        <v>85</v>
      </c>
      <c r="AQ77" s="8">
        <v>47</v>
      </c>
      <c r="AR77" s="8">
        <v>0</v>
      </c>
      <c r="AS77" s="8">
        <v>2</v>
      </c>
      <c r="AT77" s="8">
        <v>0</v>
      </c>
      <c r="AU77" s="8">
        <v>0</v>
      </c>
    </row>
    <row r="78" spans="1:47" x14ac:dyDescent="0.35">
      <c r="A78" s="23" t="s">
        <v>119</v>
      </c>
      <c r="B78" s="16">
        <v>60905</v>
      </c>
      <c r="C78" s="11">
        <f>1320+349</f>
        <v>1669</v>
      </c>
      <c r="D78" s="11">
        <f>154+98</f>
        <v>252</v>
      </c>
      <c r="E78" s="11">
        <f>92+61</f>
        <v>153</v>
      </c>
      <c r="F78" s="11">
        <f>29+24</f>
        <v>53</v>
      </c>
      <c r="G78" s="11">
        <v>24</v>
      </c>
      <c r="H78" s="11">
        <v>0</v>
      </c>
      <c r="I78" s="11">
        <v>0</v>
      </c>
      <c r="J78" s="12">
        <v>0</v>
      </c>
      <c r="K78" s="11">
        <v>22</v>
      </c>
      <c r="L78" s="11">
        <f t="shared" si="7"/>
        <v>252</v>
      </c>
      <c r="M78" s="11">
        <f>132+89</f>
        <v>221</v>
      </c>
      <c r="N78" s="11">
        <v>31</v>
      </c>
      <c r="O78" s="11">
        <v>0</v>
      </c>
      <c r="P78" s="11">
        <f t="shared" si="5"/>
        <v>252</v>
      </c>
      <c r="Q78" s="11">
        <f>44+16</f>
        <v>60</v>
      </c>
      <c r="R78" s="11">
        <v>9</v>
      </c>
      <c r="S78" s="11">
        <v>1</v>
      </c>
      <c r="T78" s="11">
        <f>17+22</f>
        <v>39</v>
      </c>
      <c r="U78" s="11">
        <f>58+43</f>
        <v>101</v>
      </c>
      <c r="V78" s="11">
        <v>14</v>
      </c>
      <c r="W78" s="11">
        <v>28</v>
      </c>
      <c r="X78" s="11">
        <f t="shared" si="6"/>
        <v>252</v>
      </c>
      <c r="Y78" s="11">
        <f>386+201</f>
        <v>587</v>
      </c>
      <c r="Z78" s="11">
        <f>189+80</f>
        <v>269</v>
      </c>
      <c r="AA78" s="11">
        <f>448+123</f>
        <v>571</v>
      </c>
      <c r="AB78" s="11">
        <f>79+49</f>
        <v>128</v>
      </c>
      <c r="AC78" s="11">
        <f>252+178</f>
        <v>430</v>
      </c>
      <c r="AD78" s="11">
        <v>16</v>
      </c>
      <c r="AE78" s="11">
        <v>22</v>
      </c>
      <c r="AF78" s="11">
        <f>28+19</f>
        <v>47</v>
      </c>
      <c r="AG78" s="11">
        <v>47</v>
      </c>
      <c r="AH78" s="11">
        <f>33+21</f>
        <v>54</v>
      </c>
      <c r="AI78" s="11">
        <f>29+18</f>
        <v>47</v>
      </c>
      <c r="AJ78" s="11">
        <f>18+19</f>
        <v>37</v>
      </c>
      <c r="AK78" s="11">
        <f>105+78</f>
        <v>183</v>
      </c>
      <c r="AL78" s="11">
        <f>49+21</f>
        <v>70</v>
      </c>
      <c r="AM78" s="11">
        <v>11</v>
      </c>
      <c r="AN78" s="11">
        <v>16</v>
      </c>
      <c r="AO78" s="11">
        <v>1800</v>
      </c>
      <c r="AP78" s="11">
        <v>69</v>
      </c>
      <c r="AQ78" s="11">
        <v>115</v>
      </c>
      <c r="AR78" s="11">
        <v>7</v>
      </c>
      <c r="AS78" s="11">
        <v>1</v>
      </c>
      <c r="AT78" s="11">
        <v>8</v>
      </c>
      <c r="AU78" s="11">
        <f>45+79</f>
        <v>124</v>
      </c>
    </row>
    <row r="79" spans="1:47" x14ac:dyDescent="0.35">
      <c r="A79" s="23" t="s">
        <v>120</v>
      </c>
      <c r="B79" s="17">
        <v>13690</v>
      </c>
      <c r="C79" s="8">
        <f>26+43</f>
        <v>69</v>
      </c>
      <c r="D79" s="8">
        <f>16+26</f>
        <v>42</v>
      </c>
      <c r="E79" s="8">
        <v>39</v>
      </c>
      <c r="F79" s="8">
        <v>3</v>
      </c>
      <c r="G79" s="8">
        <v>0</v>
      </c>
      <c r="H79" s="8">
        <v>0</v>
      </c>
      <c r="I79" s="8">
        <v>0</v>
      </c>
      <c r="J79" s="9">
        <v>0</v>
      </c>
      <c r="K79" s="8">
        <v>0</v>
      </c>
      <c r="L79" s="41">
        <f t="shared" si="7"/>
        <v>42</v>
      </c>
      <c r="M79" s="8">
        <v>36</v>
      </c>
      <c r="N79" s="8">
        <v>6</v>
      </c>
      <c r="O79" s="8">
        <v>0</v>
      </c>
      <c r="P79" s="8">
        <f t="shared" si="5"/>
        <v>42</v>
      </c>
      <c r="Q79" s="8">
        <v>5</v>
      </c>
      <c r="R79" s="8">
        <v>8</v>
      </c>
      <c r="S79" s="8">
        <v>5</v>
      </c>
      <c r="T79" s="8">
        <v>12</v>
      </c>
      <c r="U79" s="8">
        <v>12</v>
      </c>
      <c r="V79" s="8">
        <v>0</v>
      </c>
      <c r="W79" s="8">
        <v>0</v>
      </c>
      <c r="X79" s="8">
        <f t="shared" si="6"/>
        <v>42</v>
      </c>
      <c r="Y79" s="8">
        <f>29+128</f>
        <v>157</v>
      </c>
      <c r="Z79" s="8">
        <v>80</v>
      </c>
      <c r="AA79" s="8">
        <f>31+142</f>
        <v>173</v>
      </c>
      <c r="AB79" s="8">
        <v>60</v>
      </c>
      <c r="AC79" s="8">
        <f>35+250</f>
        <v>285</v>
      </c>
      <c r="AD79" s="8">
        <v>0</v>
      </c>
      <c r="AE79" s="8">
        <f>23+56</f>
        <v>79</v>
      </c>
      <c r="AF79" s="8">
        <v>0</v>
      </c>
      <c r="AG79" s="8">
        <v>0</v>
      </c>
      <c r="AH79" s="8">
        <v>0</v>
      </c>
      <c r="AI79" s="8">
        <v>0</v>
      </c>
      <c r="AJ79" s="8">
        <v>0</v>
      </c>
      <c r="AK79" s="8">
        <v>27</v>
      </c>
      <c r="AL79" s="8">
        <v>29</v>
      </c>
      <c r="AM79" s="8">
        <v>3</v>
      </c>
      <c r="AN79" s="8">
        <v>0</v>
      </c>
      <c r="AO79" s="8">
        <f>67+139</f>
        <v>206</v>
      </c>
      <c r="AP79" s="8">
        <v>12</v>
      </c>
      <c r="AQ79" s="8">
        <v>3</v>
      </c>
      <c r="AR79" s="8">
        <v>1</v>
      </c>
      <c r="AS79" s="8">
        <v>0</v>
      </c>
      <c r="AT79" s="8">
        <v>0</v>
      </c>
      <c r="AU79" s="8">
        <v>0</v>
      </c>
    </row>
    <row r="80" spans="1:47" x14ac:dyDescent="0.35">
      <c r="A80" s="23" t="s">
        <v>121</v>
      </c>
      <c r="B80" s="16">
        <v>39880</v>
      </c>
      <c r="C80" s="11">
        <f>172+164</f>
        <v>336</v>
      </c>
      <c r="D80" s="11">
        <f>77+61</f>
        <v>138</v>
      </c>
      <c r="E80" s="11">
        <v>63</v>
      </c>
      <c r="F80" s="11">
        <f>39+27</f>
        <v>66</v>
      </c>
      <c r="G80" s="11">
        <v>2</v>
      </c>
      <c r="H80" s="11">
        <v>0</v>
      </c>
      <c r="I80" s="11">
        <v>0</v>
      </c>
      <c r="J80" s="12">
        <v>0</v>
      </c>
      <c r="K80" s="11">
        <v>7</v>
      </c>
      <c r="L80" s="11">
        <f t="shared" si="7"/>
        <v>138</v>
      </c>
      <c r="M80" s="11">
        <f>58+55</f>
        <v>113</v>
      </c>
      <c r="N80" s="11">
        <v>25</v>
      </c>
      <c r="O80" s="11">
        <v>0</v>
      </c>
      <c r="P80" s="11">
        <f t="shared" si="5"/>
        <v>138</v>
      </c>
      <c r="Q80" s="11">
        <f>15+13</f>
        <v>28</v>
      </c>
      <c r="R80" s="11">
        <v>10</v>
      </c>
      <c r="S80" s="11">
        <v>18</v>
      </c>
      <c r="T80" s="11">
        <f>31+37</f>
        <v>68</v>
      </c>
      <c r="U80" s="11">
        <v>14</v>
      </c>
      <c r="V80" s="11">
        <v>0</v>
      </c>
      <c r="W80" s="11">
        <v>0</v>
      </c>
      <c r="X80" s="11">
        <f t="shared" si="6"/>
        <v>138</v>
      </c>
      <c r="Y80" s="11">
        <f>224+258</f>
        <v>482</v>
      </c>
      <c r="Z80" s="11">
        <f>47+41</f>
        <v>88</v>
      </c>
      <c r="AA80" s="11">
        <f>36+28</f>
        <v>64</v>
      </c>
      <c r="AB80" s="11">
        <v>13</v>
      </c>
      <c r="AC80" s="11">
        <v>16</v>
      </c>
      <c r="AD80" s="11">
        <v>0</v>
      </c>
      <c r="AE80" s="11">
        <f>54+37</f>
        <v>91</v>
      </c>
      <c r="AF80" s="11">
        <v>18</v>
      </c>
      <c r="AG80" s="11">
        <v>0</v>
      </c>
      <c r="AH80" s="11">
        <v>18</v>
      </c>
      <c r="AI80" s="11">
        <v>0</v>
      </c>
      <c r="AJ80" s="11">
        <v>18</v>
      </c>
      <c r="AK80" s="11">
        <v>10</v>
      </c>
      <c r="AL80" s="11">
        <v>0</v>
      </c>
      <c r="AM80" s="11">
        <v>24</v>
      </c>
      <c r="AN80" s="11">
        <v>11</v>
      </c>
      <c r="AO80" s="11">
        <f>643+721</f>
        <v>1364</v>
      </c>
      <c r="AP80" s="11">
        <f>17+13</f>
        <v>30</v>
      </c>
      <c r="AQ80" s="11">
        <f>24+17</f>
        <v>41</v>
      </c>
      <c r="AR80" s="11">
        <v>0</v>
      </c>
      <c r="AS80" s="11">
        <v>0</v>
      </c>
      <c r="AT80" s="11">
        <f>42+26</f>
        <v>68</v>
      </c>
      <c r="AU80" s="11">
        <f>123+164</f>
        <v>287</v>
      </c>
    </row>
    <row r="81" spans="1:47" x14ac:dyDescent="0.35">
      <c r="A81" s="23" t="s">
        <v>122</v>
      </c>
      <c r="B81" s="17">
        <v>178017</v>
      </c>
      <c r="C81" s="8">
        <v>446</v>
      </c>
      <c r="D81" s="8">
        <f>159+217</f>
        <v>376</v>
      </c>
      <c r="E81" s="8">
        <f>52+60</f>
        <v>112</v>
      </c>
      <c r="F81" s="8">
        <f>62+99</f>
        <v>161</v>
      </c>
      <c r="G81" s="8">
        <f>35+48</f>
        <v>83</v>
      </c>
      <c r="H81" s="8">
        <v>0</v>
      </c>
      <c r="I81" s="8">
        <v>2</v>
      </c>
      <c r="J81" s="9">
        <v>0</v>
      </c>
      <c r="K81" s="8">
        <v>18</v>
      </c>
      <c r="L81" s="41">
        <f t="shared" si="7"/>
        <v>376</v>
      </c>
      <c r="M81" s="8">
        <f>149+204</f>
        <v>353</v>
      </c>
      <c r="N81" s="8">
        <v>23</v>
      </c>
      <c r="O81" s="8">
        <v>0</v>
      </c>
      <c r="P81" s="8">
        <f t="shared" si="5"/>
        <v>376</v>
      </c>
      <c r="Q81" s="8">
        <v>19</v>
      </c>
      <c r="R81" s="8">
        <v>12</v>
      </c>
      <c r="S81" s="8">
        <f>24+27</f>
        <v>51</v>
      </c>
      <c r="T81" s="8">
        <f>73+106</f>
        <v>179</v>
      </c>
      <c r="U81" s="8">
        <f>39+64</f>
        <v>103</v>
      </c>
      <c r="V81" s="8">
        <v>12</v>
      </c>
      <c r="W81" s="8">
        <v>0</v>
      </c>
      <c r="X81" s="8">
        <f t="shared" si="6"/>
        <v>376</v>
      </c>
      <c r="Y81" s="8">
        <f>366+648</f>
        <v>1014</v>
      </c>
      <c r="Z81" s="8">
        <f>556+827</f>
        <v>1383</v>
      </c>
      <c r="AA81" s="8">
        <f>293+270</f>
        <v>563</v>
      </c>
      <c r="AB81" s="8">
        <v>39</v>
      </c>
      <c r="AC81" s="8">
        <f>426+438</f>
        <v>864</v>
      </c>
      <c r="AD81" s="8">
        <v>3</v>
      </c>
      <c r="AE81" s="8">
        <v>106</v>
      </c>
      <c r="AF81" s="8">
        <v>0</v>
      </c>
      <c r="AG81" s="8">
        <v>0</v>
      </c>
      <c r="AH81" s="8">
        <v>14</v>
      </c>
      <c r="AI81" s="8">
        <v>0</v>
      </c>
      <c r="AJ81" s="8">
        <v>0</v>
      </c>
      <c r="AK81" s="8">
        <v>27</v>
      </c>
      <c r="AL81" s="8">
        <v>0</v>
      </c>
      <c r="AM81" s="8">
        <f>14+287</f>
        <v>301</v>
      </c>
      <c r="AN81" s="8">
        <v>0</v>
      </c>
      <c r="AO81" s="8">
        <f>2176+1680</f>
        <v>3856</v>
      </c>
      <c r="AP81" s="8">
        <v>31</v>
      </c>
      <c r="AQ81" s="8">
        <f>60+171</f>
        <v>231</v>
      </c>
      <c r="AR81" s="8">
        <v>3</v>
      </c>
      <c r="AS81" s="8">
        <v>15</v>
      </c>
      <c r="AT81" s="8">
        <v>7</v>
      </c>
      <c r="AU81" s="8">
        <v>96</v>
      </c>
    </row>
    <row r="82" spans="1:47" x14ac:dyDescent="0.35">
      <c r="A82" s="23" t="s">
        <v>123</v>
      </c>
      <c r="B82" s="16">
        <v>21319</v>
      </c>
      <c r="C82" s="11">
        <f>380+452</f>
        <v>832</v>
      </c>
      <c r="D82" s="11">
        <f>84+80</f>
        <v>164</v>
      </c>
      <c r="E82" s="11">
        <f>71+73</f>
        <v>144</v>
      </c>
      <c r="F82" s="11">
        <v>14</v>
      </c>
      <c r="G82" s="11">
        <v>5</v>
      </c>
      <c r="H82" s="11">
        <v>0</v>
      </c>
      <c r="I82" s="11">
        <v>0</v>
      </c>
      <c r="J82" s="12">
        <v>0</v>
      </c>
      <c r="K82" s="11">
        <v>1</v>
      </c>
      <c r="L82" s="11">
        <f t="shared" si="7"/>
        <v>164</v>
      </c>
      <c r="M82" s="11">
        <f>65+68</f>
        <v>133</v>
      </c>
      <c r="N82" s="11">
        <v>31</v>
      </c>
      <c r="O82" s="11">
        <v>0</v>
      </c>
      <c r="P82" s="11">
        <f t="shared" si="5"/>
        <v>164</v>
      </c>
      <c r="Q82" s="11">
        <v>23</v>
      </c>
      <c r="R82" s="11">
        <v>1</v>
      </c>
      <c r="S82" s="11">
        <v>10</v>
      </c>
      <c r="T82" s="11">
        <f>29+23</f>
        <v>52</v>
      </c>
      <c r="U82" s="11">
        <f>19+26</f>
        <v>45</v>
      </c>
      <c r="V82" s="11">
        <v>20</v>
      </c>
      <c r="W82" s="11">
        <v>13</v>
      </c>
      <c r="X82" s="11">
        <f t="shared" si="6"/>
        <v>164</v>
      </c>
      <c r="Y82" s="44">
        <f>215+302</f>
        <v>517</v>
      </c>
      <c r="Z82" s="11">
        <f>87+173</f>
        <v>260</v>
      </c>
      <c r="AA82" s="11">
        <f>34+41</f>
        <v>75</v>
      </c>
      <c r="AB82" s="11">
        <v>50</v>
      </c>
      <c r="AC82" s="11">
        <f>72+97</f>
        <v>169</v>
      </c>
      <c r="AD82" s="11">
        <v>8</v>
      </c>
      <c r="AE82" s="11">
        <f>34+64</f>
        <v>98</v>
      </c>
      <c r="AF82" s="11">
        <v>9</v>
      </c>
      <c r="AG82" s="11">
        <v>5</v>
      </c>
      <c r="AH82" s="11">
        <f>16+17</f>
        <v>33</v>
      </c>
      <c r="AI82" s="11">
        <f>12+14</f>
        <v>26</v>
      </c>
      <c r="AJ82" s="11">
        <v>0</v>
      </c>
      <c r="AK82" s="11">
        <f>72+53</f>
        <v>125</v>
      </c>
      <c r="AL82" s="11">
        <f>36+42</f>
        <v>78</v>
      </c>
      <c r="AM82" s="11">
        <f>31+42</f>
        <v>73</v>
      </c>
      <c r="AN82" s="11">
        <v>1</v>
      </c>
      <c r="AO82" s="11">
        <f>2864+2852</f>
        <v>5716</v>
      </c>
      <c r="AP82" s="11">
        <v>21</v>
      </c>
      <c r="AQ82" s="11">
        <v>43</v>
      </c>
      <c r="AR82" s="11">
        <v>4</v>
      </c>
      <c r="AS82" s="11">
        <v>10</v>
      </c>
      <c r="AT82" s="11">
        <v>9</v>
      </c>
      <c r="AU82" s="11">
        <v>35</v>
      </c>
    </row>
    <row r="83" spans="1:47" x14ac:dyDescent="0.35">
      <c r="A83" s="23" t="s">
        <v>124</v>
      </c>
      <c r="B83" s="17">
        <v>143690</v>
      </c>
      <c r="C83" s="8">
        <f>86+129</f>
        <v>215</v>
      </c>
      <c r="D83" s="8">
        <f>66+80</f>
        <v>146</v>
      </c>
      <c r="E83" s="8">
        <f>60+73</f>
        <v>133</v>
      </c>
      <c r="F83" s="8">
        <v>10</v>
      </c>
      <c r="G83" s="8">
        <v>2</v>
      </c>
      <c r="H83" s="8">
        <v>0</v>
      </c>
      <c r="I83" s="8">
        <v>1</v>
      </c>
      <c r="J83" s="9">
        <v>0</v>
      </c>
      <c r="K83" s="8">
        <v>0</v>
      </c>
      <c r="L83" s="41">
        <f t="shared" si="7"/>
        <v>146</v>
      </c>
      <c r="M83" s="8">
        <v>103</v>
      </c>
      <c r="N83" s="8">
        <v>43</v>
      </c>
      <c r="O83" s="8">
        <v>0</v>
      </c>
      <c r="P83" s="8">
        <f t="shared" si="5"/>
        <v>146</v>
      </c>
      <c r="Q83" s="8">
        <v>48</v>
      </c>
      <c r="R83" s="8">
        <v>17</v>
      </c>
      <c r="S83" s="8">
        <v>17</v>
      </c>
      <c r="T83" s="8">
        <f>18+17</f>
        <v>35</v>
      </c>
      <c r="U83" s="8">
        <v>27</v>
      </c>
      <c r="V83" s="8">
        <v>2</v>
      </c>
      <c r="W83" s="8">
        <v>0</v>
      </c>
      <c r="X83" s="8">
        <f t="shared" si="6"/>
        <v>146</v>
      </c>
      <c r="Y83" s="8">
        <f>402+375</f>
        <v>777</v>
      </c>
      <c r="Z83" s="8">
        <f>395+358</f>
        <v>753</v>
      </c>
      <c r="AA83" s="8">
        <f>68+55</f>
        <v>123</v>
      </c>
      <c r="AB83" s="8">
        <f>34+91</f>
        <v>125</v>
      </c>
      <c r="AC83" s="8">
        <f>19+126</f>
        <v>145</v>
      </c>
      <c r="AD83" s="8">
        <v>5</v>
      </c>
      <c r="AE83" s="8">
        <f>17+38</f>
        <v>55</v>
      </c>
      <c r="AF83" s="8">
        <v>15</v>
      </c>
      <c r="AG83" s="8">
        <f>18+9</f>
        <v>27</v>
      </c>
      <c r="AH83" s="8">
        <v>19</v>
      </c>
      <c r="AI83" s="8">
        <v>21</v>
      </c>
      <c r="AJ83" s="8">
        <v>9</v>
      </c>
      <c r="AK83" s="8">
        <v>16</v>
      </c>
      <c r="AL83" s="8">
        <v>4</v>
      </c>
      <c r="AM83" s="8">
        <v>8</v>
      </c>
      <c r="AN83" s="8">
        <v>5</v>
      </c>
      <c r="AO83" s="8">
        <v>140</v>
      </c>
      <c r="AP83" s="8">
        <v>5</v>
      </c>
      <c r="AQ83" s="8">
        <v>16</v>
      </c>
      <c r="AR83" s="8">
        <v>1</v>
      </c>
      <c r="AS83" s="8">
        <v>1</v>
      </c>
      <c r="AT83" s="8">
        <v>15</v>
      </c>
      <c r="AU83" s="8">
        <f>110+103</f>
        <v>213</v>
      </c>
    </row>
    <row r="84" spans="1:47" x14ac:dyDescent="0.35">
      <c r="A84" s="23" t="s">
        <v>125</v>
      </c>
      <c r="B84" s="18"/>
      <c r="C84" s="11">
        <f>596+929</f>
        <v>1525</v>
      </c>
      <c r="D84" s="11">
        <f>581+400</f>
        <v>981</v>
      </c>
      <c r="E84" s="11">
        <f>395+298</f>
        <v>693</v>
      </c>
      <c r="F84" s="11">
        <f>98+64</f>
        <v>162</v>
      </c>
      <c r="G84" s="11">
        <f>73+32</f>
        <v>105</v>
      </c>
      <c r="H84" s="11">
        <v>1</v>
      </c>
      <c r="I84" s="11">
        <v>7</v>
      </c>
      <c r="J84" s="12">
        <v>3</v>
      </c>
      <c r="K84" s="11">
        <v>10</v>
      </c>
      <c r="L84" s="11">
        <f t="shared" si="7"/>
        <v>981</v>
      </c>
      <c r="M84" s="11">
        <f>404+282</f>
        <v>686</v>
      </c>
      <c r="N84" s="11">
        <f>177+118</f>
        <v>295</v>
      </c>
      <c r="O84" s="11">
        <v>0</v>
      </c>
      <c r="P84" s="11">
        <f t="shared" si="5"/>
        <v>981</v>
      </c>
      <c r="Q84" s="11">
        <f>245+153</f>
        <v>398</v>
      </c>
      <c r="R84" s="11">
        <f>48+29</f>
        <v>77</v>
      </c>
      <c r="S84" s="11">
        <f>47+59</f>
        <v>106</v>
      </c>
      <c r="T84" s="11">
        <f>143+97</f>
        <v>240</v>
      </c>
      <c r="U84" s="11">
        <f>90+59</f>
        <v>149</v>
      </c>
      <c r="V84" s="11">
        <v>11</v>
      </c>
      <c r="W84" s="11">
        <v>0</v>
      </c>
      <c r="X84" s="11">
        <f t="shared" si="6"/>
        <v>981</v>
      </c>
      <c r="Y84" s="11">
        <f>1290+1479</f>
        <v>2769</v>
      </c>
      <c r="Z84" s="11">
        <f>1797+1073</f>
        <v>2870</v>
      </c>
      <c r="AA84" s="11">
        <f>333+262</f>
        <v>595</v>
      </c>
      <c r="AB84" s="11">
        <f>156+139</f>
        <v>295</v>
      </c>
      <c r="AC84" s="11">
        <f>110+203</f>
        <v>313</v>
      </c>
      <c r="AD84" s="11">
        <v>11</v>
      </c>
      <c r="AE84" s="11">
        <f>105+221</f>
        <v>326</v>
      </c>
      <c r="AF84" s="11">
        <v>18</v>
      </c>
      <c r="AG84" s="11">
        <v>30</v>
      </c>
      <c r="AH84" s="11">
        <f>36+13</f>
        <v>49</v>
      </c>
      <c r="AI84" s="11">
        <v>13</v>
      </c>
      <c r="AJ84" s="11">
        <v>21</v>
      </c>
      <c r="AK84" s="11">
        <v>49</v>
      </c>
      <c r="AL84" s="11">
        <v>35</v>
      </c>
      <c r="AM84" s="11">
        <v>19</v>
      </c>
      <c r="AN84" s="11">
        <v>7</v>
      </c>
      <c r="AO84" s="11">
        <f>549+466</f>
        <v>1015</v>
      </c>
      <c r="AP84" s="11">
        <f>44+37</f>
        <v>81</v>
      </c>
      <c r="AQ84" s="11">
        <f>45+40</f>
        <v>85</v>
      </c>
      <c r="AR84" s="11">
        <v>1</v>
      </c>
      <c r="AS84" s="11">
        <v>12</v>
      </c>
      <c r="AT84" s="11">
        <v>92</v>
      </c>
      <c r="AU84" s="11">
        <f>175+56</f>
        <v>231</v>
      </c>
    </row>
    <row r="85" spans="1:47" x14ac:dyDescent="0.35">
      <c r="A85" s="23" t="s">
        <v>126</v>
      </c>
      <c r="B85" s="17">
        <v>45147</v>
      </c>
      <c r="C85" s="8">
        <f>136+261</f>
        <v>397</v>
      </c>
      <c r="D85" s="8">
        <f>119+197</f>
        <v>316</v>
      </c>
      <c r="E85" s="8">
        <f>58+102</f>
        <v>160</v>
      </c>
      <c r="F85" s="8">
        <f>51+73</f>
        <v>124</v>
      </c>
      <c r="G85" s="8">
        <v>18</v>
      </c>
      <c r="H85" s="8">
        <v>4</v>
      </c>
      <c r="I85" s="8">
        <v>2</v>
      </c>
      <c r="J85" s="9">
        <v>3</v>
      </c>
      <c r="K85" s="8">
        <v>5</v>
      </c>
      <c r="L85" s="41">
        <f t="shared" si="7"/>
        <v>316</v>
      </c>
      <c r="M85" s="8">
        <f>111+172</f>
        <v>283</v>
      </c>
      <c r="N85" s="8">
        <v>33</v>
      </c>
      <c r="O85" s="8">
        <v>0</v>
      </c>
      <c r="P85" s="8">
        <f t="shared" si="5"/>
        <v>316</v>
      </c>
      <c r="Q85" s="8">
        <v>16</v>
      </c>
      <c r="R85" s="8">
        <v>15</v>
      </c>
      <c r="S85" s="8">
        <f>36+21</f>
        <v>57</v>
      </c>
      <c r="T85" s="8">
        <f>41+86</f>
        <v>127</v>
      </c>
      <c r="U85" s="8">
        <f>33+43</f>
        <v>76</v>
      </c>
      <c r="V85" s="8">
        <v>8</v>
      </c>
      <c r="W85" s="8">
        <v>17</v>
      </c>
      <c r="X85" s="8">
        <f t="shared" si="6"/>
        <v>316</v>
      </c>
      <c r="Y85" s="8">
        <f>316+684</f>
        <v>1000</v>
      </c>
      <c r="Z85" s="8">
        <f>414+1066</f>
        <v>1480</v>
      </c>
      <c r="AA85" s="8">
        <f>259+344</f>
        <v>603</v>
      </c>
      <c r="AB85" s="8">
        <f>27+58</f>
        <v>85</v>
      </c>
      <c r="AC85" s="8">
        <f>246+436</f>
        <v>682</v>
      </c>
      <c r="AD85" s="8">
        <v>0</v>
      </c>
      <c r="AE85" s="8">
        <f>170+533</f>
        <v>703</v>
      </c>
      <c r="AF85" s="8">
        <v>16</v>
      </c>
      <c r="AG85" s="8">
        <v>17</v>
      </c>
      <c r="AH85" s="8">
        <v>11</v>
      </c>
      <c r="AI85" s="8">
        <v>18</v>
      </c>
      <c r="AJ85" s="8">
        <v>32</v>
      </c>
      <c r="AK85" s="8">
        <v>36</v>
      </c>
      <c r="AL85" s="8">
        <v>0</v>
      </c>
      <c r="AM85" s="8">
        <v>19</v>
      </c>
      <c r="AN85" s="8">
        <f>26+23</f>
        <v>49</v>
      </c>
      <c r="AO85" s="8">
        <v>240</v>
      </c>
      <c r="AP85" s="8">
        <f>21+17</f>
        <v>38</v>
      </c>
      <c r="AQ85" s="8">
        <f>29+18</f>
        <v>47</v>
      </c>
      <c r="AR85" s="8">
        <v>1</v>
      </c>
      <c r="AS85" s="8">
        <v>4</v>
      </c>
      <c r="AT85" s="8">
        <v>11</v>
      </c>
      <c r="AU85" s="8">
        <v>0</v>
      </c>
    </row>
    <row r="86" spans="1:47" x14ac:dyDescent="0.35">
      <c r="A86" s="23" t="s">
        <v>127</v>
      </c>
      <c r="B86" s="16">
        <v>132231</v>
      </c>
      <c r="C86" s="11">
        <f>261+217</f>
        <v>478</v>
      </c>
      <c r="D86" s="11">
        <f>668+647</f>
        <v>1315</v>
      </c>
      <c r="E86" s="11">
        <f>126+109</f>
        <v>235</v>
      </c>
      <c r="F86" s="11">
        <f>208+174</f>
        <v>382</v>
      </c>
      <c r="G86" s="11">
        <f>33+42</f>
        <v>75</v>
      </c>
      <c r="H86" s="11">
        <f>266+305</f>
        <v>571</v>
      </c>
      <c r="I86" s="11">
        <v>1</v>
      </c>
      <c r="J86" s="12">
        <v>8</v>
      </c>
      <c r="K86" s="11">
        <v>43</v>
      </c>
      <c r="L86" s="11">
        <f t="shared" si="7"/>
        <v>1315</v>
      </c>
      <c r="M86" s="11">
        <f>504+517</f>
        <v>1021</v>
      </c>
      <c r="N86" s="11">
        <f>164+130</f>
        <v>294</v>
      </c>
      <c r="O86" s="11">
        <v>0</v>
      </c>
      <c r="P86" s="11">
        <f t="shared" si="5"/>
        <v>1315</v>
      </c>
      <c r="Q86" s="11">
        <f>153+89</f>
        <v>242</v>
      </c>
      <c r="R86" s="11">
        <f>28+25</f>
        <v>53</v>
      </c>
      <c r="S86" s="11">
        <f>98+84</f>
        <v>182</v>
      </c>
      <c r="T86" s="11">
        <f>203+236</f>
        <v>439</v>
      </c>
      <c r="U86" s="11">
        <f>145+161</f>
        <v>306</v>
      </c>
      <c r="V86" s="11">
        <f>41+48</f>
        <v>89</v>
      </c>
      <c r="W86" s="11">
        <v>4</v>
      </c>
      <c r="X86" s="11">
        <f t="shared" si="6"/>
        <v>1315</v>
      </c>
      <c r="Y86" s="11">
        <f>1400+1747</f>
        <v>3147</v>
      </c>
      <c r="Z86" s="11">
        <f>795+845</f>
        <v>1640</v>
      </c>
      <c r="AA86" s="11">
        <f>1400+874</f>
        <v>2274</v>
      </c>
      <c r="AB86" s="11">
        <f>535+464</f>
        <v>999</v>
      </c>
      <c r="AC86" s="11">
        <f>588+708</f>
        <v>1296</v>
      </c>
      <c r="AD86" s="11">
        <v>0</v>
      </c>
      <c r="AE86" s="11">
        <f>609+699</f>
        <v>1308</v>
      </c>
      <c r="AF86" s="11">
        <v>45</v>
      </c>
      <c r="AG86" s="11">
        <v>0</v>
      </c>
      <c r="AH86" s="11">
        <v>12</v>
      </c>
      <c r="AI86" s="11">
        <v>11</v>
      </c>
      <c r="AJ86" s="11">
        <v>19</v>
      </c>
      <c r="AK86" s="11">
        <f>73+65</f>
        <v>138</v>
      </c>
      <c r="AL86" s="11">
        <f>16+18</f>
        <v>34</v>
      </c>
      <c r="AM86" s="11">
        <v>31</v>
      </c>
      <c r="AN86" s="11">
        <v>17</v>
      </c>
      <c r="AO86" s="11">
        <f>903+1038</f>
        <v>1941</v>
      </c>
      <c r="AP86" s="11">
        <f>56+54</f>
        <v>110</v>
      </c>
      <c r="AQ86" s="11">
        <v>103</v>
      </c>
      <c r="AR86" s="11">
        <v>2</v>
      </c>
      <c r="AS86" s="11">
        <v>0</v>
      </c>
      <c r="AT86" s="11">
        <v>5</v>
      </c>
      <c r="AU86" s="11">
        <v>0</v>
      </c>
    </row>
    <row r="87" spans="1:47" x14ac:dyDescent="0.35">
      <c r="A87" s="23" t="s">
        <v>128</v>
      </c>
      <c r="B87" s="17">
        <v>91502</v>
      </c>
      <c r="C87" s="8">
        <f>719+543</f>
        <v>1262</v>
      </c>
      <c r="D87" s="8">
        <f>885+735</f>
        <v>1620</v>
      </c>
      <c r="E87" s="8">
        <f>558+487</f>
        <v>1045</v>
      </c>
      <c r="F87" s="8">
        <v>364</v>
      </c>
      <c r="G87" s="8">
        <f>38+34</f>
        <v>72</v>
      </c>
      <c r="H87" s="8">
        <v>7</v>
      </c>
      <c r="I87" s="8">
        <v>0</v>
      </c>
      <c r="J87" s="9">
        <f>53+32</f>
        <v>85</v>
      </c>
      <c r="K87" s="8">
        <f>29+18</f>
        <v>47</v>
      </c>
      <c r="L87" s="41">
        <f t="shared" si="7"/>
        <v>1620</v>
      </c>
      <c r="M87" s="8">
        <f>710+599</f>
        <v>1309</v>
      </c>
      <c r="N87" s="8">
        <f>175+136</f>
        <v>311</v>
      </c>
      <c r="O87" s="8">
        <v>0</v>
      </c>
      <c r="P87" s="8">
        <f t="shared" si="5"/>
        <v>1620</v>
      </c>
      <c r="Q87" s="8">
        <f>84+99</f>
        <v>183</v>
      </c>
      <c r="R87" s="8">
        <f>19+24</f>
        <v>43</v>
      </c>
      <c r="S87" s="8">
        <f>107+83</f>
        <v>190</v>
      </c>
      <c r="T87" s="8">
        <f>321+220</f>
        <v>541</v>
      </c>
      <c r="U87" s="8">
        <f>237+221</f>
        <v>458</v>
      </c>
      <c r="V87" s="8">
        <f>59+52</f>
        <v>111</v>
      </c>
      <c r="W87" s="8">
        <f>58+36</f>
        <v>94</v>
      </c>
      <c r="X87" s="8">
        <f t="shared" si="6"/>
        <v>1620</v>
      </c>
      <c r="Y87" s="8">
        <f>2559+2332</f>
        <v>4891</v>
      </c>
      <c r="Z87" s="8">
        <f>2344+2201</f>
        <v>4545</v>
      </c>
      <c r="AA87" s="8">
        <f>771+545</f>
        <v>1316</v>
      </c>
      <c r="AB87" s="8">
        <f>1155+918</f>
        <v>2073</v>
      </c>
      <c r="AC87" s="8">
        <f>386+529</f>
        <v>915</v>
      </c>
      <c r="AD87" s="8">
        <f>14+25</f>
        <v>39</v>
      </c>
      <c r="AE87" s="8">
        <f>1492+1017</f>
        <v>2509</v>
      </c>
      <c r="AF87" s="8">
        <f>27+46</f>
        <v>73</v>
      </c>
      <c r="AG87" s="8">
        <f>15+23</f>
        <v>38</v>
      </c>
      <c r="AH87" s="8">
        <v>55</v>
      </c>
      <c r="AI87" s="8">
        <f>48+90</f>
        <v>138</v>
      </c>
      <c r="AJ87" s="8">
        <f>47+40</f>
        <v>87</v>
      </c>
      <c r="AK87" s="8">
        <f>46+45</f>
        <v>91</v>
      </c>
      <c r="AL87" s="8">
        <v>0</v>
      </c>
      <c r="AM87" s="8">
        <f>30+23</f>
        <v>53</v>
      </c>
      <c r="AN87" s="8">
        <v>6</v>
      </c>
      <c r="AO87" s="8">
        <f>164+242</f>
        <v>406</v>
      </c>
      <c r="AP87" s="8">
        <f>15+22</f>
        <v>37</v>
      </c>
      <c r="AQ87" s="8">
        <f>29+33</f>
        <v>62</v>
      </c>
      <c r="AR87" s="8">
        <v>4</v>
      </c>
      <c r="AS87" s="8">
        <v>9</v>
      </c>
      <c r="AT87" s="8">
        <f>69+12</f>
        <v>81</v>
      </c>
      <c r="AU87" s="8">
        <f>125+114</f>
        <v>239</v>
      </c>
    </row>
    <row r="88" spans="1:47" x14ac:dyDescent="0.35">
      <c r="A88" s="23" t="s">
        <v>129</v>
      </c>
      <c r="B88" s="16">
        <v>141371</v>
      </c>
      <c r="C88" s="11">
        <f>115+47</f>
        <v>162</v>
      </c>
      <c r="D88" s="11">
        <f>219+289</f>
        <v>508</v>
      </c>
      <c r="E88" s="11">
        <f>161+209</f>
        <v>370</v>
      </c>
      <c r="F88" s="11">
        <f>41+50</f>
        <v>91</v>
      </c>
      <c r="G88" s="11">
        <v>31</v>
      </c>
      <c r="H88" s="11">
        <v>4</v>
      </c>
      <c r="I88" s="11">
        <v>3</v>
      </c>
      <c r="J88" s="12">
        <v>1</v>
      </c>
      <c r="K88" s="11">
        <v>8</v>
      </c>
      <c r="L88" s="11">
        <f t="shared" si="7"/>
        <v>508</v>
      </c>
      <c r="M88" s="11">
        <f>210+32</f>
        <v>242</v>
      </c>
      <c r="N88" s="11">
        <f>9+257</f>
        <v>266</v>
      </c>
      <c r="O88" s="11">
        <v>0</v>
      </c>
      <c r="P88" s="11">
        <f t="shared" si="5"/>
        <v>508</v>
      </c>
      <c r="Q88" s="11">
        <v>17</v>
      </c>
      <c r="R88" s="11">
        <v>11</v>
      </c>
      <c r="S88" s="11">
        <f>49+49</f>
        <v>98</v>
      </c>
      <c r="T88" s="11">
        <f>146+207</f>
        <v>353</v>
      </c>
      <c r="U88" s="11">
        <v>20</v>
      </c>
      <c r="V88" s="11">
        <v>4</v>
      </c>
      <c r="W88" s="11">
        <v>5</v>
      </c>
      <c r="X88" s="11">
        <f t="shared" si="6"/>
        <v>508</v>
      </c>
      <c r="Y88" s="11">
        <f>2330+3484</f>
        <v>5814</v>
      </c>
      <c r="Z88" s="11">
        <f>1266+2157</f>
        <v>3423</v>
      </c>
      <c r="AA88" s="11">
        <f>815+870</f>
        <v>1685</v>
      </c>
      <c r="AB88" s="11">
        <f>18+276</f>
        <v>294</v>
      </c>
      <c r="AC88" s="11">
        <f>223+69</f>
        <v>292</v>
      </c>
      <c r="AD88" s="11">
        <v>14</v>
      </c>
      <c r="AE88" s="11">
        <f>271+328</f>
        <v>599</v>
      </c>
      <c r="AF88" s="11">
        <v>0</v>
      </c>
      <c r="AG88" s="11">
        <v>0</v>
      </c>
      <c r="AH88" s="11">
        <v>0</v>
      </c>
      <c r="AI88" s="11">
        <v>0</v>
      </c>
      <c r="AJ88" s="11">
        <v>0</v>
      </c>
      <c r="AK88" s="11">
        <f>7+35</f>
        <v>42</v>
      </c>
      <c r="AL88" s="11">
        <v>23</v>
      </c>
      <c r="AM88" s="11">
        <v>24</v>
      </c>
      <c r="AN88" s="11">
        <v>0</v>
      </c>
      <c r="AO88" s="11">
        <f>137+3029</f>
        <v>3166</v>
      </c>
      <c r="AP88" s="11">
        <f>32+39</f>
        <v>71</v>
      </c>
      <c r="AQ88" s="11">
        <v>63</v>
      </c>
      <c r="AR88" s="11">
        <v>2</v>
      </c>
      <c r="AS88" s="11">
        <v>4</v>
      </c>
      <c r="AT88" s="11">
        <f>64+41</f>
        <v>105</v>
      </c>
      <c r="AU88" s="11">
        <v>0</v>
      </c>
    </row>
    <row r="89" spans="1:47" x14ac:dyDescent="0.35">
      <c r="A89" s="23" t="s">
        <v>130</v>
      </c>
      <c r="B89" s="17">
        <v>68259</v>
      </c>
      <c r="C89" s="8">
        <f>324+349</f>
        <v>673</v>
      </c>
      <c r="D89" s="8">
        <f>296+318</f>
        <v>614</v>
      </c>
      <c r="E89" s="8">
        <f>277+290</f>
        <v>567</v>
      </c>
      <c r="F89" s="8">
        <f>22+17</f>
        <v>39</v>
      </c>
      <c r="G89" s="8">
        <v>8</v>
      </c>
      <c r="H89" s="8">
        <v>0</v>
      </c>
      <c r="I89" s="8">
        <v>0</v>
      </c>
      <c r="J89" s="9">
        <v>0</v>
      </c>
      <c r="K89" s="8">
        <v>0</v>
      </c>
      <c r="L89" s="41">
        <f t="shared" si="7"/>
        <v>614</v>
      </c>
      <c r="M89" s="8">
        <f>288+313</f>
        <v>601</v>
      </c>
      <c r="N89" s="8">
        <v>13</v>
      </c>
      <c r="O89" s="8">
        <v>0</v>
      </c>
      <c r="P89" s="8">
        <f t="shared" si="5"/>
        <v>614</v>
      </c>
      <c r="Q89" s="8">
        <v>6</v>
      </c>
      <c r="R89" s="8">
        <v>16</v>
      </c>
      <c r="S89" s="8">
        <f>107+121</f>
        <v>228</v>
      </c>
      <c r="T89" s="8">
        <f>127+115</f>
        <v>242</v>
      </c>
      <c r="U89" s="8">
        <f>48+68</f>
        <v>116</v>
      </c>
      <c r="V89" s="8">
        <v>6</v>
      </c>
      <c r="W89" s="8">
        <v>0</v>
      </c>
      <c r="X89" s="8">
        <f t="shared" si="6"/>
        <v>614</v>
      </c>
      <c r="Y89" s="8">
        <f>681+588</f>
        <v>1269</v>
      </c>
      <c r="Z89" s="8">
        <f>426+373</f>
        <v>799</v>
      </c>
      <c r="AA89" s="8">
        <f>644+526</f>
        <v>1170</v>
      </c>
      <c r="AB89" s="8">
        <f>76+112</f>
        <v>188</v>
      </c>
      <c r="AC89" s="8">
        <f>284+336</f>
        <v>620</v>
      </c>
      <c r="AD89" s="8">
        <v>22</v>
      </c>
      <c r="AE89" s="8">
        <f>573+541</f>
        <v>1114</v>
      </c>
      <c r="AF89" s="8">
        <v>19</v>
      </c>
      <c r="AG89" s="8">
        <f>39+24+53</f>
        <v>116</v>
      </c>
      <c r="AH89" s="8">
        <f>36+49</f>
        <v>85</v>
      </c>
      <c r="AI89" s="8">
        <f>47+61</f>
        <v>108</v>
      </c>
      <c r="AJ89" s="8">
        <v>16</v>
      </c>
      <c r="AK89" s="8">
        <v>32</v>
      </c>
      <c r="AL89" s="8">
        <v>0</v>
      </c>
      <c r="AM89" s="8">
        <v>10</v>
      </c>
      <c r="AN89" s="8">
        <v>4</v>
      </c>
      <c r="AO89" s="8">
        <f>19+14</f>
        <v>33</v>
      </c>
      <c r="AP89" s="8">
        <v>25</v>
      </c>
      <c r="AQ89" s="8">
        <f>13+16</f>
        <v>29</v>
      </c>
      <c r="AR89" s="8">
        <v>0</v>
      </c>
      <c r="AS89" s="8">
        <v>0</v>
      </c>
      <c r="AT89" s="8">
        <v>0</v>
      </c>
      <c r="AU89" s="8">
        <v>0</v>
      </c>
    </row>
    <row r="90" spans="1:47" x14ac:dyDescent="0.35">
      <c r="A90" s="23" t="s">
        <v>131</v>
      </c>
      <c r="B90" s="16">
        <v>63845</v>
      </c>
      <c r="C90" s="11">
        <f>241+198</f>
        <v>439</v>
      </c>
      <c r="D90" s="11">
        <f>160+130</f>
        <v>290</v>
      </c>
      <c r="E90" s="11">
        <f>54+54</f>
        <v>108</v>
      </c>
      <c r="F90" s="11">
        <f>62+52</f>
        <v>114</v>
      </c>
      <c r="G90" s="11">
        <f>33+19</f>
        <v>52</v>
      </c>
      <c r="H90" s="11">
        <v>9</v>
      </c>
      <c r="I90" s="11">
        <v>1</v>
      </c>
      <c r="J90" s="12">
        <v>2</v>
      </c>
      <c r="K90" s="11">
        <v>4</v>
      </c>
      <c r="L90" s="11">
        <f t="shared" si="7"/>
        <v>290</v>
      </c>
      <c r="M90" s="11">
        <f>152+121</f>
        <v>273</v>
      </c>
      <c r="N90" s="11">
        <v>17</v>
      </c>
      <c r="O90" s="11">
        <v>0</v>
      </c>
      <c r="P90" s="11">
        <f t="shared" si="5"/>
        <v>290</v>
      </c>
      <c r="Q90" s="11">
        <v>0</v>
      </c>
      <c r="R90" s="11">
        <v>4</v>
      </c>
      <c r="S90" s="11">
        <f>28+26</f>
        <v>54</v>
      </c>
      <c r="T90" s="11">
        <f>83+66</f>
        <v>149</v>
      </c>
      <c r="U90" s="11">
        <f>38+27</f>
        <v>65</v>
      </c>
      <c r="V90" s="11">
        <v>16</v>
      </c>
      <c r="W90" s="11">
        <v>2</v>
      </c>
      <c r="X90" s="11">
        <f t="shared" si="6"/>
        <v>290</v>
      </c>
      <c r="Y90" s="11">
        <f>965+960</f>
        <v>1925</v>
      </c>
      <c r="Z90" s="11">
        <f>1586+1268</f>
        <v>2854</v>
      </c>
      <c r="AA90" s="11">
        <f>121+190</f>
        <v>311</v>
      </c>
      <c r="AB90" s="11">
        <f>415+484</f>
        <v>899</v>
      </c>
      <c r="AC90" s="11">
        <f>266+215</f>
        <v>481</v>
      </c>
      <c r="AD90" s="11">
        <f>6+13</f>
        <v>19</v>
      </c>
      <c r="AE90" s="11">
        <f>180+168</f>
        <v>348</v>
      </c>
      <c r="AF90" s="11">
        <v>5</v>
      </c>
      <c r="AG90" s="11">
        <v>0</v>
      </c>
      <c r="AH90" s="11">
        <f>35+14</f>
        <v>49</v>
      </c>
      <c r="AI90" s="11">
        <v>35</v>
      </c>
      <c r="AJ90" s="11">
        <v>0</v>
      </c>
      <c r="AK90" s="11">
        <f>184+181</f>
        <v>365</v>
      </c>
      <c r="AL90" s="11">
        <v>0</v>
      </c>
      <c r="AM90" s="11">
        <v>8</v>
      </c>
      <c r="AN90" s="11">
        <v>0</v>
      </c>
      <c r="AO90" s="11">
        <f>384+759</f>
        <v>1143</v>
      </c>
      <c r="AP90" s="11">
        <v>28</v>
      </c>
      <c r="AQ90" s="11">
        <v>29</v>
      </c>
      <c r="AR90" s="11">
        <v>3</v>
      </c>
      <c r="AS90" s="11">
        <f>33+28</f>
        <v>61</v>
      </c>
      <c r="AT90" s="11">
        <f>38+28</f>
        <v>66</v>
      </c>
      <c r="AU90" s="11">
        <f>131+63</f>
        <v>194</v>
      </c>
    </row>
    <row r="91" spans="1:47" x14ac:dyDescent="0.35">
      <c r="A91" s="23" t="s">
        <v>132</v>
      </c>
      <c r="B91" s="17">
        <v>35794</v>
      </c>
      <c r="C91" s="8">
        <f>157+109</f>
        <v>266</v>
      </c>
      <c r="D91" s="8">
        <f>129+148</f>
        <v>277</v>
      </c>
      <c r="E91" s="8">
        <f>42+44</f>
        <v>86</v>
      </c>
      <c r="F91" s="8">
        <f>58+72</f>
        <v>130</v>
      </c>
      <c r="G91" s="8">
        <v>3</v>
      </c>
      <c r="H91" s="8">
        <f>19+25</f>
        <v>44</v>
      </c>
      <c r="I91" s="8">
        <v>1</v>
      </c>
      <c r="J91" s="9">
        <v>4</v>
      </c>
      <c r="K91" s="8">
        <v>9</v>
      </c>
      <c r="L91" s="41">
        <f t="shared" si="7"/>
        <v>277</v>
      </c>
      <c r="M91" s="8">
        <f>108+124</f>
        <v>232</v>
      </c>
      <c r="N91" s="8">
        <f>21+24</f>
        <v>45</v>
      </c>
      <c r="O91" s="8">
        <v>0</v>
      </c>
      <c r="P91" s="8">
        <f t="shared" si="5"/>
        <v>277</v>
      </c>
      <c r="Q91" s="8">
        <v>24</v>
      </c>
      <c r="R91" s="8">
        <v>5</v>
      </c>
      <c r="S91" s="8">
        <f>34+18</f>
        <v>52</v>
      </c>
      <c r="T91" s="8">
        <f>32+74</f>
        <v>106</v>
      </c>
      <c r="U91" s="8">
        <f>37+35</f>
        <v>72</v>
      </c>
      <c r="V91" s="8">
        <v>11</v>
      </c>
      <c r="W91" s="8">
        <v>7</v>
      </c>
      <c r="X91" s="8">
        <f t="shared" si="6"/>
        <v>277</v>
      </c>
      <c r="Y91" s="8">
        <f>158+432</f>
        <v>590</v>
      </c>
      <c r="Z91" s="8">
        <f>16+22</f>
        <v>38</v>
      </c>
      <c r="AA91" s="8">
        <f>43+25</f>
        <v>68</v>
      </c>
      <c r="AB91" s="8">
        <f>193+34</f>
        <v>227</v>
      </c>
      <c r="AC91" s="8">
        <f>87+107</f>
        <v>194</v>
      </c>
      <c r="AD91" s="8">
        <v>7</v>
      </c>
      <c r="AE91" s="8">
        <f>187+225</f>
        <v>412</v>
      </c>
      <c r="AF91" s="8">
        <v>18</v>
      </c>
      <c r="AG91" s="8">
        <v>9</v>
      </c>
      <c r="AH91" s="8">
        <v>30</v>
      </c>
      <c r="AI91" s="8">
        <v>14</v>
      </c>
      <c r="AJ91" s="8">
        <v>9</v>
      </c>
      <c r="AK91" s="8">
        <v>0</v>
      </c>
      <c r="AL91" s="8">
        <v>0</v>
      </c>
      <c r="AM91" s="8">
        <v>9</v>
      </c>
      <c r="AN91" s="8">
        <v>3</v>
      </c>
      <c r="AO91" s="8">
        <v>33</v>
      </c>
      <c r="AP91" s="8">
        <v>27</v>
      </c>
      <c r="AQ91" s="8">
        <v>42</v>
      </c>
      <c r="AR91" s="8">
        <v>11</v>
      </c>
      <c r="AS91" s="8">
        <v>8</v>
      </c>
      <c r="AT91" s="8">
        <v>0</v>
      </c>
      <c r="AU91" s="8">
        <v>0</v>
      </c>
    </row>
    <row r="92" spans="1:47" x14ac:dyDescent="0.35">
      <c r="A92" s="23" t="s">
        <v>133</v>
      </c>
      <c r="B92" s="16">
        <v>62727</v>
      </c>
      <c r="C92" s="11">
        <v>450</v>
      </c>
      <c r="D92" s="11">
        <f>168+139</f>
        <v>307</v>
      </c>
      <c r="E92" s="11">
        <f>66+42</f>
        <v>108</v>
      </c>
      <c r="F92" s="11">
        <f>60+47</f>
        <v>107</v>
      </c>
      <c r="G92" s="11">
        <v>22</v>
      </c>
      <c r="H92" s="11">
        <v>0</v>
      </c>
      <c r="I92" s="11">
        <v>0</v>
      </c>
      <c r="J92" s="12">
        <v>0</v>
      </c>
      <c r="K92" s="11">
        <v>70</v>
      </c>
      <c r="L92" s="11">
        <f t="shared" si="7"/>
        <v>307</v>
      </c>
      <c r="M92" s="11">
        <f>138+110</f>
        <v>248</v>
      </c>
      <c r="N92" s="11">
        <v>59</v>
      </c>
      <c r="O92" s="11">
        <v>0</v>
      </c>
      <c r="P92" s="11">
        <f t="shared" si="5"/>
        <v>307</v>
      </c>
      <c r="Q92" s="11">
        <f>61+62</f>
        <v>123</v>
      </c>
      <c r="R92" s="11">
        <v>13</v>
      </c>
      <c r="S92" s="11">
        <v>31</v>
      </c>
      <c r="T92" s="11">
        <f>52+38</f>
        <v>90</v>
      </c>
      <c r="U92" s="11">
        <v>40</v>
      </c>
      <c r="V92" s="11">
        <v>5</v>
      </c>
      <c r="W92" s="11">
        <v>5</v>
      </c>
      <c r="X92" s="11">
        <f t="shared" si="6"/>
        <v>307</v>
      </c>
      <c r="Y92" s="11">
        <f>228+160</f>
        <v>388</v>
      </c>
      <c r="Z92" s="11">
        <f>154+106</f>
        <v>260</v>
      </c>
      <c r="AA92" s="11">
        <f>87+489</f>
        <v>576</v>
      </c>
      <c r="AB92" s="11">
        <f>220+191</f>
        <v>411</v>
      </c>
      <c r="AC92" s="11">
        <f>30+111</f>
        <v>141</v>
      </c>
      <c r="AD92" s="11">
        <v>11</v>
      </c>
      <c r="AE92" s="11">
        <f>69+56</f>
        <v>125</v>
      </c>
      <c r="AF92" s="11">
        <f>15+19</f>
        <v>34</v>
      </c>
      <c r="AG92" s="11">
        <v>39</v>
      </c>
      <c r="AH92" s="11">
        <v>85</v>
      </c>
      <c r="AI92" s="11">
        <v>54</v>
      </c>
      <c r="AJ92" s="11">
        <v>22</v>
      </c>
      <c r="AK92" s="11">
        <v>32</v>
      </c>
      <c r="AL92" s="11">
        <v>24</v>
      </c>
      <c r="AM92" s="11">
        <v>11</v>
      </c>
      <c r="AN92" s="11">
        <v>0</v>
      </c>
      <c r="AO92" s="11">
        <f>393+694</f>
        <v>1087</v>
      </c>
      <c r="AP92" s="11">
        <v>52</v>
      </c>
      <c r="AQ92" s="11">
        <f>55+57</f>
        <v>112</v>
      </c>
      <c r="AR92" s="11">
        <v>4</v>
      </c>
      <c r="AS92" s="11">
        <v>22</v>
      </c>
      <c r="AT92" s="11">
        <v>14</v>
      </c>
      <c r="AU92" s="11">
        <v>10</v>
      </c>
    </row>
    <row r="93" spans="1:47" x14ac:dyDescent="0.35">
      <c r="A93" s="23" t="s">
        <v>134</v>
      </c>
      <c r="B93" s="17">
        <v>46605</v>
      </c>
      <c r="C93" s="8">
        <f>2153+2040</f>
        <v>4193</v>
      </c>
      <c r="D93" s="8">
        <f>299+409</f>
        <v>708</v>
      </c>
      <c r="E93" s="8">
        <f>293+399</f>
        <v>692</v>
      </c>
      <c r="F93" s="8">
        <v>2</v>
      </c>
      <c r="G93" s="8">
        <v>11</v>
      </c>
      <c r="H93" s="8">
        <v>1</v>
      </c>
      <c r="I93" s="8">
        <v>2</v>
      </c>
      <c r="J93" s="9">
        <v>0</v>
      </c>
      <c r="K93" s="8">
        <v>0</v>
      </c>
      <c r="L93" s="41">
        <f t="shared" si="7"/>
        <v>708</v>
      </c>
      <c r="M93" s="8">
        <f>175+261</f>
        <v>436</v>
      </c>
      <c r="N93" s="8">
        <f>124+148</f>
        <v>272</v>
      </c>
      <c r="O93" s="8">
        <v>0</v>
      </c>
      <c r="P93" s="8">
        <f t="shared" si="5"/>
        <v>708</v>
      </c>
      <c r="Q93" s="8">
        <f>115+139</f>
        <v>254</v>
      </c>
      <c r="R93" s="8">
        <v>54</v>
      </c>
      <c r="S93" s="8">
        <f>34+36</f>
        <v>70</v>
      </c>
      <c r="T93" s="8">
        <f>65+102</f>
        <v>167</v>
      </c>
      <c r="U93" s="8">
        <f>41+69</f>
        <v>110</v>
      </c>
      <c r="V93" s="8">
        <f>17+29</f>
        <v>46</v>
      </c>
      <c r="W93" s="8">
        <v>7</v>
      </c>
      <c r="X93" s="8">
        <f t="shared" si="6"/>
        <v>708</v>
      </c>
      <c r="Y93" s="8">
        <f>2081+1920</f>
        <v>4001</v>
      </c>
      <c r="Z93" s="8">
        <f>2034+1677</f>
        <v>3711</v>
      </c>
      <c r="AA93" s="8">
        <f>2635+2152</f>
        <v>4787</v>
      </c>
      <c r="AB93" s="8">
        <v>5</v>
      </c>
      <c r="AC93" s="8">
        <f>998+947</f>
        <v>1945</v>
      </c>
      <c r="AD93" s="8">
        <v>0</v>
      </c>
      <c r="AE93" s="8">
        <f>906+675</f>
        <v>1581</v>
      </c>
      <c r="AF93" s="8">
        <v>58</v>
      </c>
      <c r="AG93" s="8">
        <f>94+58</f>
        <v>152</v>
      </c>
      <c r="AH93" s="8">
        <f>95+84</f>
        <v>179</v>
      </c>
      <c r="AI93" s="8">
        <f>92+58</f>
        <v>150</v>
      </c>
      <c r="AJ93" s="8">
        <f>95+58</f>
        <v>153</v>
      </c>
      <c r="AK93" s="8">
        <f>31+15</f>
        <v>46</v>
      </c>
      <c r="AL93" s="8">
        <v>0</v>
      </c>
      <c r="AM93" s="8">
        <v>116</v>
      </c>
      <c r="AN93" s="8">
        <v>0</v>
      </c>
      <c r="AO93" s="8">
        <v>455</v>
      </c>
      <c r="AP93" s="8">
        <v>7</v>
      </c>
      <c r="AQ93" s="8">
        <v>22</v>
      </c>
      <c r="AR93" s="8">
        <v>0</v>
      </c>
      <c r="AS93" s="8">
        <v>13</v>
      </c>
      <c r="AT93" s="8">
        <v>6</v>
      </c>
      <c r="AU93" s="8">
        <v>0</v>
      </c>
    </row>
    <row r="94" spans="1:47" x14ac:dyDescent="0.35">
      <c r="A94" s="23" t="s">
        <v>135</v>
      </c>
      <c r="B94" s="16">
        <v>73116</v>
      </c>
      <c r="C94" s="11">
        <f>1098+1342</f>
        <v>2440</v>
      </c>
      <c r="D94" s="11">
        <f>503+431</f>
        <v>934</v>
      </c>
      <c r="E94" s="11">
        <f>440+373</f>
        <v>813</v>
      </c>
      <c r="F94" s="11">
        <f>24+22</f>
        <v>46</v>
      </c>
      <c r="G94" s="11">
        <f>35+36</f>
        <v>71</v>
      </c>
      <c r="H94" s="11">
        <v>1</v>
      </c>
      <c r="I94" s="11">
        <v>0</v>
      </c>
      <c r="J94" s="12">
        <v>0</v>
      </c>
      <c r="K94" s="11">
        <v>3</v>
      </c>
      <c r="L94" s="11">
        <f t="shared" si="7"/>
        <v>934</v>
      </c>
      <c r="M94" s="11">
        <f>329+278</f>
        <v>607</v>
      </c>
      <c r="N94" s="11">
        <f>174+153</f>
        <v>327</v>
      </c>
      <c r="O94" s="11">
        <v>0</v>
      </c>
      <c r="P94" s="11">
        <f t="shared" si="5"/>
        <v>934</v>
      </c>
      <c r="Q94" s="11">
        <f>162+127</f>
        <v>289</v>
      </c>
      <c r="R94" s="11">
        <f>39+28</f>
        <v>67</v>
      </c>
      <c r="S94" s="11">
        <f>53+51</f>
        <v>104</v>
      </c>
      <c r="T94" s="11">
        <f>111+99</f>
        <v>210</v>
      </c>
      <c r="U94" s="11">
        <f>105+94</f>
        <v>199</v>
      </c>
      <c r="V94" s="11">
        <f>32+27</f>
        <v>59</v>
      </c>
      <c r="W94" s="11">
        <v>6</v>
      </c>
      <c r="X94" s="11">
        <f t="shared" si="6"/>
        <v>934</v>
      </c>
      <c r="Y94" s="11">
        <f>2923+2999</f>
        <v>5922</v>
      </c>
      <c r="Z94" s="11">
        <f>2481+2467</f>
        <v>4948</v>
      </c>
      <c r="AA94" s="11">
        <f>3667+3193</f>
        <v>6860</v>
      </c>
      <c r="AB94" s="11">
        <f>12+29</f>
        <v>41</v>
      </c>
      <c r="AC94" s="11">
        <f>593+690</f>
        <v>1283</v>
      </c>
      <c r="AD94" s="11">
        <v>0</v>
      </c>
      <c r="AE94" s="11">
        <f>800+744</f>
        <v>1544</v>
      </c>
      <c r="AF94" s="11">
        <v>13</v>
      </c>
      <c r="AG94" s="11">
        <v>5</v>
      </c>
      <c r="AH94" s="11">
        <v>34</v>
      </c>
      <c r="AI94" s="11">
        <v>4</v>
      </c>
      <c r="AJ94" s="11">
        <v>4</v>
      </c>
      <c r="AK94" s="11">
        <v>48</v>
      </c>
      <c r="AL94" s="11">
        <v>0</v>
      </c>
      <c r="AM94" s="11">
        <f>16+87</f>
        <v>103</v>
      </c>
      <c r="AN94" s="11">
        <v>3</v>
      </c>
      <c r="AO94" s="11">
        <f>156+312</f>
        <v>468</v>
      </c>
      <c r="AP94" s="11">
        <v>0</v>
      </c>
      <c r="AQ94" s="11">
        <v>0</v>
      </c>
      <c r="AR94" s="11">
        <v>0</v>
      </c>
      <c r="AS94" s="11">
        <f>93+37</f>
        <v>130</v>
      </c>
      <c r="AT94" s="11">
        <f>25+29</f>
        <v>54</v>
      </c>
      <c r="AU94" s="11">
        <v>0</v>
      </c>
    </row>
    <row r="95" spans="1:47" x14ac:dyDescent="0.35">
      <c r="A95" s="23" t="s">
        <v>136</v>
      </c>
      <c r="B95" s="19">
        <v>14730</v>
      </c>
      <c r="C95" s="8">
        <f>1785+1680</f>
        <v>3465</v>
      </c>
      <c r="D95" s="8">
        <f>116+123</f>
        <v>239</v>
      </c>
      <c r="E95" s="8">
        <f>104+96</f>
        <v>200</v>
      </c>
      <c r="F95" s="8">
        <v>5</v>
      </c>
      <c r="G95" s="8">
        <v>6</v>
      </c>
      <c r="H95" s="8">
        <v>28</v>
      </c>
      <c r="I95" s="8">
        <v>0</v>
      </c>
      <c r="J95" s="9">
        <v>0</v>
      </c>
      <c r="K95" s="8">
        <v>0</v>
      </c>
      <c r="L95" s="41">
        <f t="shared" si="7"/>
        <v>239</v>
      </c>
      <c r="M95" s="8">
        <f>85+90</f>
        <v>175</v>
      </c>
      <c r="N95" s="8">
        <f>31+33</f>
        <v>64</v>
      </c>
      <c r="O95" s="8">
        <v>0</v>
      </c>
      <c r="P95" s="8">
        <f t="shared" si="5"/>
        <v>239</v>
      </c>
      <c r="Q95" s="8">
        <f>37+36</f>
        <v>73</v>
      </c>
      <c r="R95" s="8">
        <v>11</v>
      </c>
      <c r="S95" s="8">
        <v>28</v>
      </c>
      <c r="T95" s="8">
        <f>37+31</f>
        <v>68</v>
      </c>
      <c r="U95" s="8">
        <f>16+25</f>
        <v>41</v>
      </c>
      <c r="V95" s="8">
        <v>16</v>
      </c>
      <c r="W95" s="8">
        <v>2</v>
      </c>
      <c r="X95" s="8">
        <f t="shared" si="6"/>
        <v>239</v>
      </c>
      <c r="Y95" s="8">
        <f>885+508</f>
        <v>1393</v>
      </c>
      <c r="Z95" s="8">
        <f>924+415</f>
        <v>1339</v>
      </c>
      <c r="AA95" s="8">
        <f>85+157</f>
        <v>242</v>
      </c>
      <c r="AB95" s="8">
        <f>86+39</f>
        <v>125</v>
      </c>
      <c r="AC95" s="8">
        <v>13</v>
      </c>
      <c r="AD95" s="8">
        <v>7</v>
      </c>
      <c r="AE95" s="8">
        <f>94+52</f>
        <v>146</v>
      </c>
      <c r="AF95" s="8">
        <v>36</v>
      </c>
      <c r="AG95" s="8">
        <v>12</v>
      </c>
      <c r="AH95" s="8">
        <v>36</v>
      </c>
      <c r="AI95" s="8">
        <v>7</v>
      </c>
      <c r="AJ95" s="8">
        <v>5</v>
      </c>
      <c r="AK95" s="8">
        <f>24+26</f>
        <v>50</v>
      </c>
      <c r="AL95" s="8">
        <v>0</v>
      </c>
      <c r="AM95" s="8">
        <v>13</v>
      </c>
      <c r="AN95" s="8">
        <v>11</v>
      </c>
      <c r="AO95" s="8">
        <f>804+780</f>
        <v>1584</v>
      </c>
      <c r="AP95" s="8">
        <v>17</v>
      </c>
      <c r="AQ95" s="8">
        <v>10</v>
      </c>
      <c r="AR95" s="8">
        <v>2</v>
      </c>
      <c r="AS95" s="8">
        <v>2</v>
      </c>
      <c r="AT95" s="8">
        <v>0</v>
      </c>
      <c r="AU95" s="8">
        <v>0</v>
      </c>
    </row>
    <row r="96" spans="1:47" x14ac:dyDescent="0.35">
      <c r="A96" s="23" t="s">
        <v>137</v>
      </c>
      <c r="B96" s="16">
        <v>34575</v>
      </c>
      <c r="C96" s="11">
        <f>441+402</f>
        <v>843</v>
      </c>
      <c r="D96" s="11">
        <f>117+124</f>
        <v>241</v>
      </c>
      <c r="E96" s="11">
        <v>206</v>
      </c>
      <c r="F96" s="11">
        <v>20</v>
      </c>
      <c r="G96" s="11">
        <v>12</v>
      </c>
      <c r="H96" s="11">
        <v>0</v>
      </c>
      <c r="I96" s="11">
        <v>0</v>
      </c>
      <c r="J96" s="12">
        <v>1</v>
      </c>
      <c r="K96" s="11">
        <v>2</v>
      </c>
      <c r="L96" s="11">
        <f t="shared" si="7"/>
        <v>241</v>
      </c>
      <c r="M96" s="11">
        <f>94+98</f>
        <v>192</v>
      </c>
      <c r="N96" s="11">
        <f>23+26</f>
        <v>49</v>
      </c>
      <c r="O96" s="11">
        <v>0</v>
      </c>
      <c r="P96" s="11">
        <f t="shared" si="5"/>
        <v>241</v>
      </c>
      <c r="Q96" s="11">
        <f>11+17</f>
        <v>28</v>
      </c>
      <c r="R96" s="11">
        <v>12</v>
      </c>
      <c r="S96" s="11">
        <f>32+31</f>
        <v>63</v>
      </c>
      <c r="T96" s="11">
        <f>46+36</f>
        <v>82</v>
      </c>
      <c r="U96" s="11">
        <v>35</v>
      </c>
      <c r="V96" s="11">
        <v>11</v>
      </c>
      <c r="W96" s="11">
        <v>10</v>
      </c>
      <c r="X96" s="11">
        <f t="shared" si="6"/>
        <v>241</v>
      </c>
      <c r="Y96" s="11">
        <f>232+287</f>
        <v>519</v>
      </c>
      <c r="Z96" s="11">
        <f>232+212</f>
        <v>444</v>
      </c>
      <c r="AA96" s="11">
        <f>189+142</f>
        <v>331</v>
      </c>
      <c r="AB96" s="11">
        <f>9+24</f>
        <v>33</v>
      </c>
      <c r="AC96" s="11">
        <f>89+240</f>
        <v>329</v>
      </c>
      <c r="AD96" s="11">
        <v>4</v>
      </c>
      <c r="AE96" s="11">
        <f>196+106</f>
        <v>302</v>
      </c>
      <c r="AF96" s="11">
        <v>34</v>
      </c>
      <c r="AG96" s="11">
        <v>10</v>
      </c>
      <c r="AH96" s="11">
        <v>3</v>
      </c>
      <c r="AI96" s="11">
        <v>0</v>
      </c>
      <c r="AJ96" s="11">
        <v>8</v>
      </c>
      <c r="AK96" s="11">
        <f>33+16</f>
        <v>49</v>
      </c>
      <c r="AL96" s="11">
        <f>21+14</f>
        <v>35</v>
      </c>
      <c r="AM96" s="11">
        <f>14+35</f>
        <v>49</v>
      </c>
      <c r="AN96" s="11">
        <v>12</v>
      </c>
      <c r="AO96" s="11">
        <f>9341+4284</f>
        <v>13625</v>
      </c>
      <c r="AP96" s="11">
        <f>18+23</f>
        <v>41</v>
      </c>
      <c r="AQ96" s="11">
        <f>13+38</f>
        <v>51</v>
      </c>
      <c r="AR96" s="11">
        <v>6</v>
      </c>
      <c r="AS96" s="11">
        <v>1</v>
      </c>
      <c r="AT96" s="11">
        <v>1</v>
      </c>
      <c r="AU96" s="11">
        <v>7</v>
      </c>
    </row>
    <row r="97" spans="1:47" x14ac:dyDescent="0.35">
      <c r="A97" s="23" t="s">
        <v>138</v>
      </c>
      <c r="B97" s="17">
        <v>4310</v>
      </c>
      <c r="C97" s="8">
        <v>34</v>
      </c>
      <c r="D97" s="8">
        <v>6</v>
      </c>
      <c r="E97" s="8">
        <v>3</v>
      </c>
      <c r="F97" s="8">
        <v>2</v>
      </c>
      <c r="G97" s="8">
        <v>1</v>
      </c>
      <c r="H97" s="8">
        <v>0</v>
      </c>
      <c r="I97" s="8">
        <v>0</v>
      </c>
      <c r="J97" s="9">
        <v>0</v>
      </c>
      <c r="K97" s="8">
        <v>0</v>
      </c>
      <c r="L97" s="41">
        <f t="shared" si="7"/>
        <v>6</v>
      </c>
      <c r="M97" s="8">
        <v>6</v>
      </c>
      <c r="N97" s="8">
        <v>0</v>
      </c>
      <c r="O97" s="8">
        <v>0</v>
      </c>
      <c r="P97" s="8">
        <f t="shared" si="5"/>
        <v>6</v>
      </c>
      <c r="Q97" s="8">
        <v>1</v>
      </c>
      <c r="R97" s="8">
        <v>0</v>
      </c>
      <c r="S97" s="8">
        <v>0</v>
      </c>
      <c r="T97" s="8">
        <v>4</v>
      </c>
      <c r="U97" s="8">
        <v>1</v>
      </c>
      <c r="V97" s="8">
        <v>0</v>
      </c>
      <c r="W97" s="8">
        <v>0</v>
      </c>
      <c r="X97" s="8">
        <f t="shared" si="6"/>
        <v>6</v>
      </c>
      <c r="Y97" s="8">
        <f>4288+3835</f>
        <v>8123</v>
      </c>
      <c r="Z97" s="8">
        <f>195+127</f>
        <v>322</v>
      </c>
      <c r="AA97" s="8">
        <v>222</v>
      </c>
      <c r="AB97" s="8">
        <v>2</v>
      </c>
      <c r="AC97" s="8">
        <f>70+36</f>
        <v>106</v>
      </c>
      <c r="AD97" s="8">
        <v>1</v>
      </c>
      <c r="AE97" s="8">
        <v>16</v>
      </c>
      <c r="AF97" s="8">
        <v>0</v>
      </c>
      <c r="AG97" s="8">
        <v>0</v>
      </c>
      <c r="AH97" s="8">
        <v>0</v>
      </c>
      <c r="AI97" s="8">
        <v>0</v>
      </c>
      <c r="AJ97" s="8">
        <v>49</v>
      </c>
      <c r="AK97" s="8">
        <v>8</v>
      </c>
      <c r="AL97" s="8">
        <v>33</v>
      </c>
      <c r="AM97" s="8">
        <f>15+13</f>
        <v>28</v>
      </c>
      <c r="AN97" s="8">
        <f>18+9</f>
        <v>27</v>
      </c>
      <c r="AO97" s="8">
        <f>1287+2675</f>
        <v>3962</v>
      </c>
      <c r="AP97" s="8">
        <v>0</v>
      </c>
      <c r="AQ97" s="8">
        <v>0</v>
      </c>
      <c r="AR97" s="8">
        <v>0</v>
      </c>
      <c r="AS97" s="8">
        <v>0</v>
      </c>
      <c r="AT97" s="8">
        <v>0</v>
      </c>
      <c r="AU97" s="8">
        <v>0</v>
      </c>
    </row>
    <row r="98" spans="1:47" x14ac:dyDescent="0.35">
      <c r="A98" s="23" t="s">
        <v>139</v>
      </c>
      <c r="B98" s="16">
        <v>228492</v>
      </c>
      <c r="C98" s="11">
        <f>335+269</f>
        <v>604</v>
      </c>
      <c r="D98" s="11">
        <f>445+1513</f>
        <v>1958</v>
      </c>
      <c r="E98" s="11">
        <f>180+701</f>
        <v>881</v>
      </c>
      <c r="F98" s="11">
        <f>138+365</f>
        <v>503</v>
      </c>
      <c r="G98" s="11">
        <f>68+195</f>
        <v>263</v>
      </c>
      <c r="H98" s="11">
        <v>8</v>
      </c>
      <c r="I98" s="11">
        <v>38</v>
      </c>
      <c r="J98" s="12">
        <v>4</v>
      </c>
      <c r="K98" s="11">
        <f>47+214</f>
        <v>261</v>
      </c>
      <c r="L98" s="11">
        <f t="shared" si="7"/>
        <v>1958</v>
      </c>
      <c r="M98" s="11">
        <f>340+916</f>
        <v>1256</v>
      </c>
      <c r="N98" s="11">
        <f>105+597</f>
        <v>702</v>
      </c>
      <c r="O98" s="11">
        <v>0</v>
      </c>
      <c r="P98" s="11">
        <f t="shared" si="5"/>
        <v>1958</v>
      </c>
      <c r="Q98" s="11">
        <f>147+178</f>
        <v>325</v>
      </c>
      <c r="R98" s="11">
        <f>11+1140</f>
        <v>1151</v>
      </c>
      <c r="S98" s="11">
        <f>120+36</f>
        <v>156</v>
      </c>
      <c r="T98" s="11">
        <f>74+83</f>
        <v>157</v>
      </c>
      <c r="U98" s="11">
        <f>59+57</f>
        <v>116</v>
      </c>
      <c r="V98" s="11">
        <v>4</v>
      </c>
      <c r="W98" s="11">
        <f>32+17</f>
        <v>49</v>
      </c>
      <c r="X98" s="11">
        <f t="shared" si="6"/>
        <v>1958</v>
      </c>
      <c r="Y98" s="11">
        <f>779+995</f>
        <v>1774</v>
      </c>
      <c r="Z98" s="11">
        <f>163+200</f>
        <v>363</v>
      </c>
      <c r="AA98" s="11">
        <f>779+995</f>
        <v>1774</v>
      </c>
      <c r="AB98" s="11">
        <f>275+644</f>
        <v>919</v>
      </c>
      <c r="AC98" s="11">
        <f>52+78</f>
        <v>130</v>
      </c>
      <c r="AD98" s="11">
        <v>1</v>
      </c>
      <c r="AE98" s="11">
        <f>128+103</f>
        <v>231</v>
      </c>
      <c r="AF98" s="11">
        <v>12</v>
      </c>
      <c r="AG98" s="11">
        <v>24</v>
      </c>
      <c r="AH98" s="11">
        <v>112</v>
      </c>
      <c r="AI98" s="11">
        <f>35+38</f>
        <v>73</v>
      </c>
      <c r="AJ98" s="11">
        <v>33</v>
      </c>
      <c r="AK98" s="11">
        <f>55+62</f>
        <v>117</v>
      </c>
      <c r="AL98" s="11">
        <f>35+27</f>
        <v>62</v>
      </c>
      <c r="AM98" s="11">
        <f>59+65</f>
        <v>124</v>
      </c>
      <c r="AN98" s="11">
        <v>18</v>
      </c>
      <c r="AO98" s="11">
        <f>6337+5526</f>
        <v>11863</v>
      </c>
      <c r="AP98" s="11">
        <f>51+38</f>
        <v>89</v>
      </c>
      <c r="AQ98" s="11">
        <v>99</v>
      </c>
      <c r="AR98" s="11">
        <v>1</v>
      </c>
      <c r="AS98" s="11">
        <v>12</v>
      </c>
      <c r="AT98" s="11">
        <v>0</v>
      </c>
      <c r="AU98" s="11">
        <v>0</v>
      </c>
    </row>
    <row r="99" spans="1:47" x14ac:dyDescent="0.35">
      <c r="A99" s="23" t="s">
        <v>140</v>
      </c>
      <c r="B99" s="17">
        <v>45129</v>
      </c>
      <c r="C99" s="8">
        <f>422+313</f>
        <v>735</v>
      </c>
      <c r="D99" s="8">
        <f>118+161</f>
        <v>279</v>
      </c>
      <c r="E99" s="8">
        <f>26+37</f>
        <v>63</v>
      </c>
      <c r="F99" s="8">
        <f>85+101</f>
        <v>186</v>
      </c>
      <c r="G99" s="8">
        <v>20</v>
      </c>
      <c r="H99" s="8">
        <v>0</v>
      </c>
      <c r="I99" s="8">
        <v>1</v>
      </c>
      <c r="J99" s="9">
        <v>4</v>
      </c>
      <c r="K99" s="8">
        <v>5</v>
      </c>
      <c r="L99" s="41">
        <f t="shared" si="7"/>
        <v>279</v>
      </c>
      <c r="M99" s="8">
        <f>86+136</f>
        <v>222</v>
      </c>
      <c r="N99" s="8">
        <f>32+25</f>
        <v>57</v>
      </c>
      <c r="O99" s="8">
        <v>0</v>
      </c>
      <c r="P99" s="8">
        <f t="shared" si="5"/>
        <v>279</v>
      </c>
      <c r="Q99" s="8">
        <v>2</v>
      </c>
      <c r="R99" s="8">
        <v>6</v>
      </c>
      <c r="S99" s="8">
        <f>25+38</f>
        <v>63</v>
      </c>
      <c r="T99" s="8">
        <f>52+61</f>
        <v>113</v>
      </c>
      <c r="U99" s="8">
        <f>22+28</f>
        <v>50</v>
      </c>
      <c r="V99" s="8">
        <v>18</v>
      </c>
      <c r="W99" s="8">
        <v>27</v>
      </c>
      <c r="X99" s="8">
        <f t="shared" si="6"/>
        <v>279</v>
      </c>
      <c r="Y99" s="8">
        <f>24+45</f>
        <v>69</v>
      </c>
      <c r="Z99" s="8">
        <v>35</v>
      </c>
      <c r="AA99" s="8">
        <v>27</v>
      </c>
      <c r="AB99" s="8">
        <v>16</v>
      </c>
      <c r="AC99" s="8">
        <v>24</v>
      </c>
      <c r="AD99" s="8">
        <v>0</v>
      </c>
      <c r="AE99" s="8">
        <f>97+127</f>
        <v>224</v>
      </c>
      <c r="AF99" s="8">
        <f>25+64</f>
        <v>89</v>
      </c>
      <c r="AG99" s="8">
        <v>50</v>
      </c>
      <c r="AH99" s="8">
        <f>25+8</f>
        <v>33</v>
      </c>
      <c r="AI99" s="8">
        <v>75</v>
      </c>
      <c r="AJ99" s="8">
        <v>76</v>
      </c>
      <c r="AK99" s="8">
        <v>24</v>
      </c>
      <c r="AL99" s="8">
        <v>0</v>
      </c>
      <c r="AM99" s="8">
        <f>35+172</f>
        <v>207</v>
      </c>
      <c r="AN99" s="8">
        <v>25</v>
      </c>
      <c r="AO99" s="8">
        <f>320+513</f>
        <v>833</v>
      </c>
      <c r="AP99" s="8">
        <v>2</v>
      </c>
      <c r="AQ99" s="8">
        <v>7</v>
      </c>
      <c r="AR99" s="8">
        <v>0</v>
      </c>
      <c r="AS99" s="8">
        <v>0</v>
      </c>
      <c r="AT99" s="8">
        <v>0</v>
      </c>
      <c r="AU99" s="8">
        <v>0</v>
      </c>
    </row>
    <row r="100" spans="1:47" x14ac:dyDescent="0.35">
      <c r="A100" s="23" t="s">
        <v>198</v>
      </c>
      <c r="B100" s="16">
        <v>1052120</v>
      </c>
      <c r="C100" s="11">
        <v>0</v>
      </c>
      <c r="D100" s="11">
        <f>176+105</f>
        <v>281</v>
      </c>
      <c r="E100" s="11">
        <f>54+8</f>
        <v>62</v>
      </c>
      <c r="F100" s="11">
        <f>72+19</f>
        <v>91</v>
      </c>
      <c r="G100" s="11">
        <f>18+4</f>
        <v>22</v>
      </c>
      <c r="H100" s="11">
        <v>0</v>
      </c>
      <c r="I100" s="11">
        <v>5</v>
      </c>
      <c r="J100" s="12">
        <f>26+74</f>
        <v>100</v>
      </c>
      <c r="K100" s="11">
        <v>1</v>
      </c>
      <c r="L100" s="11">
        <f t="shared" si="7"/>
        <v>281</v>
      </c>
      <c r="M100" s="11">
        <f>167+95</f>
        <v>262</v>
      </c>
      <c r="N100" s="11">
        <v>19</v>
      </c>
      <c r="O100" s="11">
        <v>0</v>
      </c>
      <c r="P100" s="11">
        <f t="shared" si="5"/>
        <v>281</v>
      </c>
      <c r="Q100" s="11">
        <v>3</v>
      </c>
      <c r="R100" s="11">
        <v>1</v>
      </c>
      <c r="S100" s="11">
        <v>29</v>
      </c>
      <c r="T100" s="11">
        <v>88</v>
      </c>
      <c r="U100" s="11">
        <v>49</v>
      </c>
      <c r="V100" s="11">
        <v>4</v>
      </c>
      <c r="W100" s="11">
        <f>43+64</f>
        <v>107</v>
      </c>
      <c r="X100" s="11">
        <f t="shared" si="6"/>
        <v>281</v>
      </c>
      <c r="Y100" s="11">
        <f>38+126</f>
        <v>164</v>
      </c>
      <c r="Z100" s="11">
        <f>220+164</f>
        <v>384</v>
      </c>
      <c r="AA100" s="11">
        <f>35+117</f>
        <v>152</v>
      </c>
      <c r="AB100" s="11">
        <v>8</v>
      </c>
      <c r="AC100" s="11">
        <f>94+66</f>
        <v>160</v>
      </c>
      <c r="AD100" s="11">
        <v>0</v>
      </c>
      <c r="AE100" s="11">
        <v>15</v>
      </c>
      <c r="AF100" s="11">
        <v>15</v>
      </c>
      <c r="AG100" s="11">
        <v>1</v>
      </c>
      <c r="AH100" s="11">
        <v>44</v>
      </c>
      <c r="AI100" s="11">
        <v>0</v>
      </c>
      <c r="AJ100" s="11">
        <v>8</v>
      </c>
      <c r="AK100" s="11">
        <v>8</v>
      </c>
      <c r="AL100" s="11">
        <v>0</v>
      </c>
      <c r="AM100" s="11">
        <v>7</v>
      </c>
      <c r="AN100" s="11">
        <v>1</v>
      </c>
      <c r="AO100" s="11">
        <v>0</v>
      </c>
      <c r="AP100" s="11">
        <v>0</v>
      </c>
      <c r="AQ100" s="11">
        <v>0</v>
      </c>
      <c r="AR100" s="11">
        <v>0</v>
      </c>
      <c r="AS100" s="11">
        <v>0</v>
      </c>
      <c r="AT100" s="11">
        <v>0</v>
      </c>
      <c r="AU100" s="11">
        <v>0</v>
      </c>
    </row>
    <row r="101" spans="1:47" x14ac:dyDescent="0.35">
      <c r="A101" s="23" t="s">
        <v>199</v>
      </c>
      <c r="B101" s="16">
        <v>1052120</v>
      </c>
      <c r="C101" s="11">
        <f>3328+2296</f>
        <v>5624</v>
      </c>
      <c r="D101" s="11">
        <f>1860+2339</f>
        <v>4199</v>
      </c>
      <c r="E101" s="11">
        <f>569+584</f>
        <v>1153</v>
      </c>
      <c r="F101" s="11">
        <f>686+657</f>
        <v>1343</v>
      </c>
      <c r="G101" s="11">
        <f>234+224</f>
        <v>458</v>
      </c>
      <c r="H101" s="11">
        <v>7</v>
      </c>
      <c r="I101" s="11">
        <f>37+37</f>
        <v>74</v>
      </c>
      <c r="J101" s="12">
        <f>248+814</f>
        <v>1062</v>
      </c>
      <c r="K101" s="11">
        <f>81+21</f>
        <v>102</v>
      </c>
      <c r="L101" s="11">
        <f>SUM(E101:K101)</f>
        <v>4199</v>
      </c>
      <c r="M101" s="11">
        <f>1752+2217</f>
        <v>3969</v>
      </c>
      <c r="N101" s="11">
        <f>108+122</f>
        <v>230</v>
      </c>
      <c r="O101" s="11">
        <v>0</v>
      </c>
      <c r="P101" s="11">
        <f>SUM(M101:O101)</f>
        <v>4199</v>
      </c>
      <c r="Q101" s="11">
        <f>31+26</f>
        <v>57</v>
      </c>
      <c r="R101" s="11">
        <v>24</v>
      </c>
      <c r="S101" s="11">
        <f>239+266</f>
        <v>505</v>
      </c>
      <c r="T101" s="11">
        <f>719+803</f>
        <v>1522</v>
      </c>
      <c r="U101" s="11">
        <f>434+466</f>
        <v>900</v>
      </c>
      <c r="V101" s="11">
        <v>70</v>
      </c>
      <c r="W101" s="11">
        <f>385+736</f>
        <v>1121</v>
      </c>
      <c r="X101" s="11">
        <f>SUM(Q101:W101)</f>
        <v>4199</v>
      </c>
      <c r="Y101" s="11">
        <f>6037+2368</f>
        <v>8405</v>
      </c>
      <c r="Z101" s="11">
        <f>4313+2866</f>
        <v>7179</v>
      </c>
      <c r="AA101" s="11">
        <f>1306+1753</f>
        <v>3059</v>
      </c>
      <c r="AB101" s="11">
        <f>225+174</f>
        <v>399</v>
      </c>
      <c r="AC101" s="11">
        <f>3560+2187</f>
        <v>5747</v>
      </c>
      <c r="AD101" s="11">
        <v>59</v>
      </c>
      <c r="AE101" s="11">
        <f>2761+999</f>
        <v>3760</v>
      </c>
      <c r="AF101" s="11">
        <v>35</v>
      </c>
      <c r="AG101" s="11">
        <v>1</v>
      </c>
      <c r="AH101" s="11">
        <f>35+78</f>
        <v>113</v>
      </c>
      <c r="AI101" s="11">
        <v>0</v>
      </c>
      <c r="AJ101" s="11">
        <v>8</v>
      </c>
      <c r="AK101" s="11">
        <f>61+86</f>
        <v>147</v>
      </c>
      <c r="AL101" s="11">
        <f>183+269</f>
        <v>452</v>
      </c>
      <c r="AM101" s="11">
        <f>64+146</f>
        <v>210</v>
      </c>
      <c r="AN101" s="11">
        <f>29+17</f>
        <v>46</v>
      </c>
      <c r="AO101" s="11">
        <f>4467+5647</f>
        <v>10114</v>
      </c>
      <c r="AP101" s="11">
        <f>64+65</f>
        <v>129</v>
      </c>
      <c r="AQ101" s="11">
        <f>50+79</f>
        <v>129</v>
      </c>
      <c r="AR101" s="11">
        <v>1</v>
      </c>
      <c r="AS101" s="11">
        <v>4</v>
      </c>
      <c r="AT101" s="11">
        <f>72+574</f>
        <v>646</v>
      </c>
      <c r="AU101" s="11">
        <f>136+110</f>
        <v>246</v>
      </c>
    </row>
    <row r="102" spans="1:47" x14ac:dyDescent="0.35">
      <c r="A102" s="23" t="s">
        <v>142</v>
      </c>
      <c r="B102" s="17">
        <v>20234</v>
      </c>
      <c r="C102" s="8">
        <f>434+543</f>
        <v>977</v>
      </c>
      <c r="D102" s="8">
        <f>33+49</f>
        <v>82</v>
      </c>
      <c r="E102" s="8">
        <f>14+9</f>
        <v>23</v>
      </c>
      <c r="F102" s="8">
        <v>51</v>
      </c>
      <c r="G102" s="8">
        <v>4</v>
      </c>
      <c r="H102" s="8">
        <v>3</v>
      </c>
      <c r="I102" s="8">
        <v>0</v>
      </c>
      <c r="J102" s="9">
        <v>0</v>
      </c>
      <c r="K102" s="8">
        <v>1</v>
      </c>
      <c r="L102" s="41">
        <f t="shared" si="7"/>
        <v>82</v>
      </c>
      <c r="M102" s="8">
        <f>26+34</f>
        <v>60</v>
      </c>
      <c r="N102" s="8">
        <f>7+15</f>
        <v>22</v>
      </c>
      <c r="O102" s="8">
        <v>0</v>
      </c>
      <c r="P102" s="8">
        <f t="shared" si="5"/>
        <v>82</v>
      </c>
      <c r="Q102" s="8">
        <v>0</v>
      </c>
      <c r="R102" s="8">
        <v>4</v>
      </c>
      <c r="S102" s="8">
        <v>13</v>
      </c>
      <c r="T102" s="8">
        <v>27</v>
      </c>
      <c r="U102" s="8">
        <v>26</v>
      </c>
      <c r="V102" s="8">
        <v>12</v>
      </c>
      <c r="W102" s="8">
        <v>0</v>
      </c>
      <c r="X102" s="8">
        <f t="shared" si="6"/>
        <v>82</v>
      </c>
      <c r="Y102" s="8">
        <f>31+39</f>
        <v>70</v>
      </c>
      <c r="Z102" s="8">
        <f>12+36</f>
        <v>48</v>
      </c>
      <c r="AA102" s="8">
        <v>0</v>
      </c>
      <c r="AB102" s="8">
        <v>0</v>
      </c>
      <c r="AC102" s="8">
        <v>2</v>
      </c>
      <c r="AD102" s="8">
        <v>0</v>
      </c>
      <c r="AE102" s="8">
        <f>21+36</f>
        <v>57</v>
      </c>
      <c r="AF102" s="8">
        <f>54+25</f>
        <v>79</v>
      </c>
      <c r="AG102" s="8">
        <v>50</v>
      </c>
      <c r="AH102" s="8">
        <f>8+25</f>
        <v>33</v>
      </c>
      <c r="AI102" s="8">
        <f>50+79</f>
        <v>129</v>
      </c>
      <c r="AJ102" s="8">
        <f>12+79</f>
        <v>91</v>
      </c>
      <c r="AK102" s="8">
        <v>24</v>
      </c>
      <c r="AL102" s="8">
        <v>0</v>
      </c>
      <c r="AM102" s="8">
        <f>9+247</f>
        <v>256</v>
      </c>
      <c r="AN102" s="8">
        <v>9</v>
      </c>
      <c r="AO102" s="8">
        <f>320+513</f>
        <v>833</v>
      </c>
      <c r="AP102" s="8">
        <v>3</v>
      </c>
      <c r="AQ102" s="8">
        <v>6</v>
      </c>
      <c r="AR102" s="8">
        <v>0</v>
      </c>
      <c r="AS102" s="8">
        <v>0</v>
      </c>
      <c r="AT102" s="8">
        <v>0</v>
      </c>
      <c r="AU102" s="8">
        <v>0</v>
      </c>
    </row>
    <row r="103" spans="1:47" x14ac:dyDescent="0.35">
      <c r="A103" s="23" t="s">
        <v>143</v>
      </c>
      <c r="B103" s="16">
        <v>12324</v>
      </c>
      <c r="C103" s="11">
        <f>127+276</f>
        <v>403</v>
      </c>
      <c r="D103" s="11">
        <f>11+24</f>
        <v>35</v>
      </c>
      <c r="E103" s="11">
        <v>14</v>
      </c>
      <c r="F103" s="11">
        <v>18</v>
      </c>
      <c r="G103" s="11">
        <v>1</v>
      </c>
      <c r="H103" s="11">
        <v>0</v>
      </c>
      <c r="I103" s="11">
        <v>0</v>
      </c>
      <c r="J103" s="12">
        <v>0</v>
      </c>
      <c r="K103" s="11">
        <v>2</v>
      </c>
      <c r="L103" s="11">
        <f t="shared" si="7"/>
        <v>35</v>
      </c>
      <c r="M103" s="11">
        <v>32</v>
      </c>
      <c r="N103" s="11">
        <v>3</v>
      </c>
      <c r="O103" s="11">
        <v>0</v>
      </c>
      <c r="P103" s="11">
        <f t="shared" si="5"/>
        <v>35</v>
      </c>
      <c r="Q103" s="11">
        <v>1</v>
      </c>
      <c r="R103" s="11">
        <v>2</v>
      </c>
      <c r="S103" s="11">
        <v>6</v>
      </c>
      <c r="T103" s="11">
        <v>16</v>
      </c>
      <c r="U103" s="11">
        <v>8</v>
      </c>
      <c r="V103" s="11">
        <v>2</v>
      </c>
      <c r="W103" s="11">
        <v>0</v>
      </c>
      <c r="X103" s="11">
        <f t="shared" si="6"/>
        <v>35</v>
      </c>
      <c r="Y103" s="11">
        <v>39</v>
      </c>
      <c r="Z103" s="11">
        <f>15+28</f>
        <v>43</v>
      </c>
      <c r="AA103" s="11">
        <v>61</v>
      </c>
      <c r="AB103" s="11">
        <v>8</v>
      </c>
      <c r="AC103" s="11">
        <v>3</v>
      </c>
      <c r="AD103" s="11">
        <v>1</v>
      </c>
      <c r="AE103" s="11">
        <v>6</v>
      </c>
      <c r="AF103" s="11">
        <v>0</v>
      </c>
      <c r="AG103" s="11">
        <v>0</v>
      </c>
      <c r="AH103" s="11">
        <v>0</v>
      </c>
      <c r="AI103" s="11">
        <v>0</v>
      </c>
      <c r="AJ103" s="11">
        <v>0</v>
      </c>
      <c r="AK103" s="11">
        <v>0</v>
      </c>
      <c r="AL103" s="11">
        <v>0</v>
      </c>
      <c r="AM103" s="11">
        <v>88</v>
      </c>
      <c r="AN103" s="11">
        <v>0</v>
      </c>
      <c r="AO103" s="11">
        <v>0</v>
      </c>
      <c r="AP103" s="11">
        <v>26</v>
      </c>
      <c r="AQ103" s="11">
        <v>178</v>
      </c>
      <c r="AR103" s="11">
        <v>2</v>
      </c>
      <c r="AS103" s="11">
        <v>10</v>
      </c>
      <c r="AT103" s="11">
        <v>7</v>
      </c>
      <c r="AU103" s="11">
        <f>96+103</f>
        <v>199</v>
      </c>
    </row>
    <row r="104" spans="1:47" x14ac:dyDescent="0.35">
      <c r="A104" s="23" t="s">
        <v>144</v>
      </c>
      <c r="B104" s="17">
        <v>56418</v>
      </c>
      <c r="C104" s="8">
        <f>1078+594</f>
        <v>1672</v>
      </c>
      <c r="D104" s="8">
        <f>192+108</f>
        <v>300</v>
      </c>
      <c r="E104" s="8">
        <f>149+74</f>
        <v>223</v>
      </c>
      <c r="F104" s="8">
        <v>12</v>
      </c>
      <c r="G104" s="8">
        <v>13</v>
      </c>
      <c r="H104" s="8">
        <v>1</v>
      </c>
      <c r="I104" s="8">
        <v>4</v>
      </c>
      <c r="J104" s="9">
        <v>32</v>
      </c>
      <c r="K104" s="8">
        <v>15</v>
      </c>
      <c r="L104" s="41">
        <f t="shared" si="7"/>
        <v>300</v>
      </c>
      <c r="M104" s="8">
        <f>160+90</f>
        <v>250</v>
      </c>
      <c r="N104" s="8">
        <v>50</v>
      </c>
      <c r="O104" s="8">
        <v>0</v>
      </c>
      <c r="P104" s="8">
        <f t="shared" si="5"/>
        <v>300</v>
      </c>
      <c r="Q104" s="8">
        <f>51+24</f>
        <v>75</v>
      </c>
      <c r="R104" s="8">
        <v>14</v>
      </c>
      <c r="S104" s="8">
        <f>21+15</f>
        <v>36</v>
      </c>
      <c r="T104" s="8">
        <f>54+34</f>
        <v>88</v>
      </c>
      <c r="U104" s="8">
        <v>50</v>
      </c>
      <c r="V104" s="8">
        <v>9</v>
      </c>
      <c r="W104" s="8">
        <v>28</v>
      </c>
      <c r="X104" s="8">
        <f t="shared" si="6"/>
        <v>300</v>
      </c>
      <c r="Y104" s="8">
        <f>1305+814</f>
        <v>2119</v>
      </c>
      <c r="Z104" s="8">
        <f>520+421</f>
        <v>941</v>
      </c>
      <c r="AA104" s="8">
        <f>515+454</f>
        <v>969</v>
      </c>
      <c r="AB104" s="8">
        <f>59+55</f>
        <v>114</v>
      </c>
      <c r="AC104" s="8">
        <f>597+405</f>
        <v>1002</v>
      </c>
      <c r="AD104" s="8">
        <f>11+13</f>
        <v>24</v>
      </c>
      <c r="AE104" s="8">
        <f>259+165</f>
        <v>424</v>
      </c>
      <c r="AF104" s="8">
        <v>29</v>
      </c>
      <c r="AG104" s="8">
        <v>0</v>
      </c>
      <c r="AH104" s="8">
        <f>36+32</f>
        <v>68</v>
      </c>
      <c r="AI104" s="8">
        <f>57+37</f>
        <v>94</v>
      </c>
      <c r="AJ104" s="8">
        <v>30</v>
      </c>
      <c r="AK104" s="8">
        <v>90</v>
      </c>
      <c r="AL104" s="8">
        <v>15</v>
      </c>
      <c r="AM104" s="8">
        <f>31+33</f>
        <v>64</v>
      </c>
      <c r="AN104" s="8">
        <v>17</v>
      </c>
      <c r="AO104" s="8">
        <f>1380+2452</f>
        <v>3832</v>
      </c>
      <c r="AP104" s="8">
        <f>9+14</f>
        <v>23</v>
      </c>
      <c r="AQ104" s="8">
        <v>54</v>
      </c>
      <c r="AR104" s="8">
        <v>3</v>
      </c>
      <c r="AS104" s="8">
        <v>8</v>
      </c>
      <c r="AT104" s="8">
        <f>25+19</f>
        <v>44</v>
      </c>
      <c r="AU104" s="8">
        <f>83+145</f>
        <v>228</v>
      </c>
    </row>
    <row r="105" spans="1:47" x14ac:dyDescent="0.35">
      <c r="A105" s="23" t="s">
        <v>145</v>
      </c>
      <c r="B105" s="16">
        <v>124227</v>
      </c>
      <c r="C105" s="11">
        <f>382+468</f>
        <v>850</v>
      </c>
      <c r="D105" s="11">
        <f>106+107</f>
        <v>213</v>
      </c>
      <c r="E105" s="11">
        <f>37+44</f>
        <v>81</v>
      </c>
      <c r="F105" s="11">
        <f>59+58</f>
        <v>117</v>
      </c>
      <c r="G105" s="11">
        <v>11</v>
      </c>
      <c r="H105" s="11">
        <v>0</v>
      </c>
      <c r="I105" s="11">
        <v>0</v>
      </c>
      <c r="J105" s="12">
        <v>4</v>
      </c>
      <c r="K105" s="11">
        <v>0</v>
      </c>
      <c r="L105" s="11">
        <f t="shared" si="7"/>
        <v>213</v>
      </c>
      <c r="M105" s="11">
        <f>66+70</f>
        <v>136</v>
      </c>
      <c r="N105" s="11">
        <f>40+37</f>
        <v>77</v>
      </c>
      <c r="O105" s="11">
        <v>0</v>
      </c>
      <c r="P105" s="11">
        <f t="shared" si="5"/>
        <v>213</v>
      </c>
      <c r="Q105" s="11">
        <f>45+42</f>
        <v>87</v>
      </c>
      <c r="R105" s="11">
        <v>11</v>
      </c>
      <c r="S105" s="11">
        <v>17</v>
      </c>
      <c r="T105" s="11">
        <f>26+32</f>
        <v>58</v>
      </c>
      <c r="U105" s="11">
        <f>21+15</f>
        <v>36</v>
      </c>
      <c r="V105" s="11">
        <v>4</v>
      </c>
      <c r="W105" s="11">
        <v>0</v>
      </c>
      <c r="X105" s="11">
        <f t="shared" si="6"/>
        <v>213</v>
      </c>
      <c r="Y105" s="11">
        <f>230+450</f>
        <v>680</v>
      </c>
      <c r="Z105" s="11">
        <f>178+160</f>
        <v>338</v>
      </c>
      <c r="AA105" s="11">
        <f>108+210</f>
        <v>318</v>
      </c>
      <c r="AB105" s="11">
        <f>61+240</f>
        <v>301</v>
      </c>
      <c r="AC105" s="11">
        <v>0</v>
      </c>
      <c r="AD105" s="11">
        <v>3</v>
      </c>
      <c r="AE105" s="11">
        <f>36+80</f>
        <v>116</v>
      </c>
      <c r="AF105" s="11">
        <v>84</v>
      </c>
      <c r="AG105" s="11">
        <f>54+62</f>
        <v>116</v>
      </c>
      <c r="AH105" s="11">
        <f>54+60</f>
        <v>114</v>
      </c>
      <c r="AI105" s="11">
        <f>54+53</f>
        <v>107</v>
      </c>
      <c r="AJ105" s="11">
        <v>60</v>
      </c>
      <c r="AK105" s="11">
        <f>32+26</f>
        <v>58</v>
      </c>
      <c r="AL105" s="11">
        <v>58</v>
      </c>
      <c r="AM105" s="11">
        <v>7</v>
      </c>
      <c r="AN105" s="11">
        <v>2</v>
      </c>
      <c r="AO105" s="11">
        <f>420+416</f>
        <v>836</v>
      </c>
      <c r="AP105" s="11">
        <v>26</v>
      </c>
      <c r="AQ105" s="11">
        <f>29+29</f>
        <v>58</v>
      </c>
      <c r="AR105" s="11">
        <v>0</v>
      </c>
      <c r="AS105" s="11">
        <v>0</v>
      </c>
      <c r="AT105" s="11">
        <v>0</v>
      </c>
      <c r="AU105" s="11">
        <v>0</v>
      </c>
    </row>
    <row r="106" spans="1:47" x14ac:dyDescent="0.35">
      <c r="A106" s="23" t="s">
        <v>192</v>
      </c>
      <c r="B106" s="17">
        <v>69870</v>
      </c>
      <c r="C106" s="8">
        <f>178+197</f>
        <v>375</v>
      </c>
      <c r="D106" s="8">
        <f>135+132</f>
        <v>267</v>
      </c>
      <c r="E106" s="8">
        <f>107+65</f>
        <v>172</v>
      </c>
      <c r="F106" s="8">
        <v>65</v>
      </c>
      <c r="G106" s="8">
        <v>10</v>
      </c>
      <c r="H106" s="8">
        <v>0</v>
      </c>
      <c r="I106" s="8">
        <v>0</v>
      </c>
      <c r="J106" s="9">
        <v>0</v>
      </c>
      <c r="K106" s="8">
        <v>20</v>
      </c>
      <c r="L106" s="41">
        <f t="shared" si="7"/>
        <v>267</v>
      </c>
      <c r="M106" s="8">
        <f>116+109</f>
        <v>225</v>
      </c>
      <c r="N106" s="8">
        <f>19+23</f>
        <v>42</v>
      </c>
      <c r="O106" s="8">
        <v>0</v>
      </c>
      <c r="P106" s="8">
        <f t="shared" si="5"/>
        <v>267</v>
      </c>
      <c r="Q106" s="8">
        <f>41+53</f>
        <v>94</v>
      </c>
      <c r="R106" s="8">
        <v>5</v>
      </c>
      <c r="S106" s="8">
        <v>31</v>
      </c>
      <c r="T106" s="8">
        <f>66+63</f>
        <v>129</v>
      </c>
      <c r="U106" s="8">
        <v>0</v>
      </c>
      <c r="V106" s="8">
        <v>8</v>
      </c>
      <c r="W106" s="8">
        <v>0</v>
      </c>
      <c r="X106" s="8">
        <f t="shared" si="6"/>
        <v>267</v>
      </c>
      <c r="Y106" s="8">
        <f>734+734</f>
        <v>1468</v>
      </c>
      <c r="Z106" s="8">
        <f>1170+1170</f>
        <v>2340</v>
      </c>
      <c r="AA106" s="8">
        <f>905+905</f>
        <v>1810</v>
      </c>
      <c r="AB106" s="8">
        <f>617+617</f>
        <v>1234</v>
      </c>
      <c r="AC106" s="8">
        <f>39+39</f>
        <v>78</v>
      </c>
      <c r="AD106" s="8">
        <v>10</v>
      </c>
      <c r="AE106" s="8">
        <f>81+114</f>
        <v>195</v>
      </c>
      <c r="AF106" s="8">
        <v>51</v>
      </c>
      <c r="AG106" s="8">
        <v>43</v>
      </c>
      <c r="AH106" s="8">
        <v>5</v>
      </c>
      <c r="AI106" s="8">
        <v>15</v>
      </c>
      <c r="AJ106" s="8">
        <v>29</v>
      </c>
      <c r="AK106" s="8">
        <f>48+36</f>
        <v>84</v>
      </c>
      <c r="AL106" s="8">
        <v>5</v>
      </c>
      <c r="AM106" s="8">
        <v>18</v>
      </c>
      <c r="AN106" s="8">
        <v>7</v>
      </c>
      <c r="AO106" s="8">
        <f>169+120</f>
        <v>289</v>
      </c>
      <c r="AP106" s="8">
        <f>41+57</f>
        <v>98</v>
      </c>
      <c r="AQ106" s="8">
        <f>91+71</f>
        <v>162</v>
      </c>
      <c r="AR106" s="8">
        <v>5</v>
      </c>
      <c r="AS106" s="8">
        <v>0</v>
      </c>
      <c r="AT106" s="8">
        <v>56</v>
      </c>
      <c r="AU106" s="8">
        <f>161+165</f>
        <v>326</v>
      </c>
    </row>
    <row r="107" spans="1:47" x14ac:dyDescent="0.35">
      <c r="A107" s="23" t="s">
        <v>146</v>
      </c>
      <c r="B107" s="16">
        <v>81674</v>
      </c>
      <c r="C107" s="11">
        <f>620+680</f>
        <v>1300</v>
      </c>
      <c r="D107" s="11">
        <f>559+660</f>
        <v>1219</v>
      </c>
      <c r="E107" s="11">
        <f>87+116</f>
        <v>203</v>
      </c>
      <c r="F107" s="11">
        <f>166+232</f>
        <v>398</v>
      </c>
      <c r="G107" s="11">
        <f>277+283</f>
        <v>560</v>
      </c>
      <c r="H107" s="11">
        <v>0</v>
      </c>
      <c r="I107" s="11">
        <v>0</v>
      </c>
      <c r="J107" s="12">
        <v>4</v>
      </c>
      <c r="K107" s="11">
        <f>25+29</f>
        <v>54</v>
      </c>
      <c r="L107" s="11">
        <f t="shared" si="7"/>
        <v>1219</v>
      </c>
      <c r="M107" s="11">
        <f>369+450</f>
        <v>819</v>
      </c>
      <c r="N107" s="11">
        <f>190+210</f>
        <v>400</v>
      </c>
      <c r="O107" s="11">
        <v>0</v>
      </c>
      <c r="P107" s="11">
        <f t="shared" si="5"/>
        <v>1219</v>
      </c>
      <c r="Q107" s="11">
        <f>249+299</f>
        <v>548</v>
      </c>
      <c r="R107" s="11">
        <f>71+74</f>
        <v>145</v>
      </c>
      <c r="S107" s="11">
        <v>65</v>
      </c>
      <c r="T107" s="11">
        <f>128+161</f>
        <v>289</v>
      </c>
      <c r="U107" s="11">
        <f>72+79</f>
        <v>151</v>
      </c>
      <c r="V107" s="11">
        <v>21</v>
      </c>
      <c r="W107" s="11">
        <v>0</v>
      </c>
      <c r="X107" s="11">
        <f t="shared" si="6"/>
        <v>1219</v>
      </c>
      <c r="Y107" s="11">
        <f>3220+4699</f>
        <v>7919</v>
      </c>
      <c r="Z107" s="11">
        <f>4786+5992</f>
        <v>10778</v>
      </c>
      <c r="AA107" s="11">
        <f>1931+2714</f>
        <v>4645</v>
      </c>
      <c r="AB107" s="11">
        <f>541+397</f>
        <v>938</v>
      </c>
      <c r="AC107" s="11">
        <f>94+124</f>
        <v>218</v>
      </c>
      <c r="AD107" s="11">
        <v>9</v>
      </c>
      <c r="AE107" s="11">
        <f>264+313</f>
        <v>577</v>
      </c>
      <c r="AF107" s="11">
        <f>470+425</f>
        <v>895</v>
      </c>
      <c r="AG107" s="11">
        <f>211+427</f>
        <v>638</v>
      </c>
      <c r="AH107" s="11">
        <f>199+279</f>
        <v>478</v>
      </c>
      <c r="AI107" s="11">
        <f>141+287</f>
        <v>428</v>
      </c>
      <c r="AJ107" s="11">
        <f>483+252</f>
        <v>735</v>
      </c>
      <c r="AK107" s="11">
        <f>49+44</f>
        <v>93</v>
      </c>
      <c r="AL107" s="11">
        <f>24+20</f>
        <v>44</v>
      </c>
      <c r="AM107" s="11">
        <v>29</v>
      </c>
      <c r="AN107" s="11">
        <v>13</v>
      </c>
      <c r="AO107" s="11">
        <f>1375+1348</f>
        <v>2723</v>
      </c>
      <c r="AP107" s="11">
        <f>37+58</f>
        <v>95</v>
      </c>
      <c r="AQ107" s="11">
        <f>45+65</f>
        <v>110</v>
      </c>
      <c r="AR107" s="11">
        <v>2</v>
      </c>
      <c r="AS107" s="11">
        <f>17+15</f>
        <v>32</v>
      </c>
      <c r="AT107" s="11">
        <v>2</v>
      </c>
      <c r="AU107" s="11">
        <v>0</v>
      </c>
    </row>
    <row r="108" spans="1:47" x14ac:dyDescent="0.35">
      <c r="A108" s="23" t="s">
        <v>147</v>
      </c>
      <c r="B108" s="17">
        <v>38226</v>
      </c>
      <c r="C108" s="8">
        <f>648+556</f>
        <v>1204</v>
      </c>
      <c r="D108" s="8">
        <f>330+195</f>
        <v>525</v>
      </c>
      <c r="E108" s="8">
        <f>281+155</f>
        <v>436</v>
      </c>
      <c r="F108" s="8">
        <v>21</v>
      </c>
      <c r="G108" s="8">
        <v>42</v>
      </c>
      <c r="H108" s="8">
        <v>9</v>
      </c>
      <c r="I108" s="8">
        <v>0</v>
      </c>
      <c r="J108" s="9">
        <v>14</v>
      </c>
      <c r="K108" s="8">
        <v>3</v>
      </c>
      <c r="L108" s="41">
        <f t="shared" si="7"/>
        <v>525</v>
      </c>
      <c r="M108" s="8">
        <f>220+136</f>
        <v>356</v>
      </c>
      <c r="N108" s="8">
        <f>110+59</f>
        <v>169</v>
      </c>
      <c r="O108" s="8">
        <v>0</v>
      </c>
      <c r="P108" s="8">
        <f t="shared" si="5"/>
        <v>525</v>
      </c>
      <c r="Q108" s="8">
        <f>102+36</f>
        <v>138</v>
      </c>
      <c r="R108" s="8">
        <f>34+19</f>
        <v>53</v>
      </c>
      <c r="S108" s="8">
        <f>36+23</f>
        <v>59</v>
      </c>
      <c r="T108" s="8">
        <f>73+47</f>
        <v>120</v>
      </c>
      <c r="U108" s="8">
        <f>65+38</f>
        <v>103</v>
      </c>
      <c r="V108" s="8">
        <f>14+18</f>
        <v>32</v>
      </c>
      <c r="W108" s="8">
        <v>20</v>
      </c>
      <c r="X108" s="8">
        <f t="shared" si="6"/>
        <v>525</v>
      </c>
      <c r="Y108" s="8">
        <f>864+657</f>
        <v>1521</v>
      </c>
      <c r="Z108" s="8">
        <f>539+362</f>
        <v>901</v>
      </c>
      <c r="AA108" s="8">
        <f>837+584</f>
        <v>1421</v>
      </c>
      <c r="AB108" s="8">
        <v>21</v>
      </c>
      <c r="AC108" s="8">
        <f>183+109</f>
        <v>292</v>
      </c>
      <c r="AD108" s="8">
        <v>1</v>
      </c>
      <c r="AE108" s="8">
        <f>233+227</f>
        <v>460</v>
      </c>
      <c r="AF108" s="8">
        <f>27+26</f>
        <v>53</v>
      </c>
      <c r="AG108" s="8">
        <v>4</v>
      </c>
      <c r="AH108" s="8">
        <v>81</v>
      </c>
      <c r="AI108" s="8">
        <f>24+18</f>
        <v>42</v>
      </c>
      <c r="AJ108" s="8">
        <f>19+13</f>
        <v>32</v>
      </c>
      <c r="AK108" s="8">
        <f>48+34</f>
        <v>82</v>
      </c>
      <c r="AL108" s="8">
        <v>0</v>
      </c>
      <c r="AM108" s="8">
        <f>81+38</f>
        <v>119</v>
      </c>
      <c r="AN108" s="8">
        <v>8</v>
      </c>
      <c r="AO108" s="8">
        <f>608+282</f>
        <v>890</v>
      </c>
      <c r="AP108" s="8">
        <v>0</v>
      </c>
      <c r="AQ108" s="8">
        <v>6</v>
      </c>
      <c r="AR108" s="8">
        <v>2</v>
      </c>
      <c r="AS108" s="8">
        <v>39</v>
      </c>
      <c r="AT108" s="8">
        <v>13</v>
      </c>
      <c r="AU108" s="8">
        <v>0</v>
      </c>
    </row>
    <row r="109" spans="1:47" x14ac:dyDescent="0.35">
      <c r="A109" s="23" t="s">
        <v>148</v>
      </c>
      <c r="B109" s="16">
        <v>18314</v>
      </c>
      <c r="C109" s="11">
        <f>643+529</f>
        <v>1172</v>
      </c>
      <c r="D109" s="11">
        <f>90+72</f>
        <v>162</v>
      </c>
      <c r="E109" s="11">
        <f>71+70</f>
        <v>141</v>
      </c>
      <c r="F109" s="11">
        <v>8</v>
      </c>
      <c r="G109" s="11">
        <v>2</v>
      </c>
      <c r="H109" s="11">
        <v>1</v>
      </c>
      <c r="I109" s="11">
        <v>0</v>
      </c>
      <c r="J109" s="12">
        <v>4</v>
      </c>
      <c r="K109" s="11">
        <v>6</v>
      </c>
      <c r="L109" s="42">
        <f t="shared" si="7"/>
        <v>162</v>
      </c>
      <c r="M109" s="11">
        <f>87+62</f>
        <v>149</v>
      </c>
      <c r="N109" s="11">
        <v>13</v>
      </c>
      <c r="O109" s="11">
        <v>0</v>
      </c>
      <c r="P109" s="11">
        <f t="shared" si="5"/>
        <v>162</v>
      </c>
      <c r="Q109" s="11">
        <f>35+22</f>
        <v>57</v>
      </c>
      <c r="R109" s="11">
        <v>3</v>
      </c>
      <c r="S109" s="11">
        <v>14</v>
      </c>
      <c r="T109" s="11">
        <f>22+18</f>
        <v>40</v>
      </c>
      <c r="U109" s="11">
        <f>23+22</f>
        <v>45</v>
      </c>
      <c r="V109" s="11">
        <v>3</v>
      </c>
      <c r="W109" s="11">
        <v>0</v>
      </c>
      <c r="X109" s="11">
        <f t="shared" si="6"/>
        <v>162</v>
      </c>
      <c r="Y109" s="11">
        <f>227+304</f>
        <v>531</v>
      </c>
      <c r="Z109" s="11">
        <f>117+57</f>
        <v>174</v>
      </c>
      <c r="AA109" s="11">
        <f>252+144</f>
        <v>396</v>
      </c>
      <c r="AB109" s="11">
        <f>428+69</f>
        <v>497</v>
      </c>
      <c r="AC109" s="11">
        <f>730+258</f>
        <v>988</v>
      </c>
      <c r="AD109" s="11">
        <v>1</v>
      </c>
      <c r="AE109" s="11">
        <f>18+26</f>
        <v>44</v>
      </c>
      <c r="AF109" s="11">
        <v>0</v>
      </c>
      <c r="AG109" s="11">
        <v>0</v>
      </c>
      <c r="AH109" s="11">
        <v>0</v>
      </c>
      <c r="AI109" s="11">
        <v>0</v>
      </c>
      <c r="AJ109" s="11">
        <v>0</v>
      </c>
      <c r="AK109" s="11">
        <f>60+68</f>
        <v>128</v>
      </c>
      <c r="AL109" s="11">
        <f>44+60</f>
        <v>104</v>
      </c>
      <c r="AM109" s="11">
        <f>18+24</f>
        <v>42</v>
      </c>
      <c r="AN109" s="11">
        <v>6</v>
      </c>
      <c r="AO109" s="11">
        <f>283+244</f>
        <v>527</v>
      </c>
      <c r="AP109" s="11">
        <v>17</v>
      </c>
      <c r="AQ109" s="11">
        <v>28</v>
      </c>
      <c r="AR109" s="11">
        <v>3</v>
      </c>
      <c r="AS109" s="11">
        <v>11</v>
      </c>
      <c r="AT109" s="11">
        <v>17</v>
      </c>
      <c r="AU109" s="11">
        <v>93</v>
      </c>
    </row>
    <row r="110" spans="1:47" x14ac:dyDescent="0.35">
      <c r="A110" s="21" t="s">
        <v>48</v>
      </c>
      <c r="B110" s="40">
        <f t="shared" ref="B110:J110" si="8">SUM(B4:B109)</f>
        <v>11338090</v>
      </c>
      <c r="C110" s="22">
        <f t="shared" si="8"/>
        <v>112686</v>
      </c>
      <c r="D110" s="22">
        <f t="shared" si="8"/>
        <v>60214</v>
      </c>
      <c r="E110" s="22">
        <f t="shared" si="8"/>
        <v>29834</v>
      </c>
      <c r="F110" s="22">
        <f t="shared" si="8"/>
        <v>17866</v>
      </c>
      <c r="G110" s="22">
        <f t="shared" si="8"/>
        <v>5266</v>
      </c>
      <c r="H110" s="22">
        <f t="shared" si="8"/>
        <v>906</v>
      </c>
      <c r="I110" s="22">
        <f t="shared" si="8"/>
        <v>506</v>
      </c>
      <c r="J110" s="6">
        <f t="shared" si="8"/>
        <v>4062</v>
      </c>
      <c r="K110" s="22">
        <f t="shared" ref="K110:AU110" si="9">SUM(K4:K109)</f>
        <v>1774</v>
      </c>
      <c r="L110" s="22">
        <f t="shared" si="9"/>
        <v>60214</v>
      </c>
      <c r="M110" s="22">
        <f t="shared" si="9"/>
        <v>49907</v>
      </c>
      <c r="N110" s="22">
        <f t="shared" si="9"/>
        <v>10119</v>
      </c>
      <c r="O110" s="22">
        <f>SUM(O4:O109)</f>
        <v>188</v>
      </c>
      <c r="P110" s="22">
        <f t="shared" si="9"/>
        <v>60214</v>
      </c>
      <c r="Q110" s="22">
        <f t="shared" si="9"/>
        <v>7834</v>
      </c>
      <c r="R110" s="22">
        <f t="shared" si="9"/>
        <v>3237</v>
      </c>
      <c r="S110" s="22">
        <f t="shared" si="9"/>
        <v>9217</v>
      </c>
      <c r="T110" s="22">
        <f t="shared" si="9"/>
        <v>21991</v>
      </c>
      <c r="U110" s="22">
        <f t="shared" si="9"/>
        <v>12014</v>
      </c>
      <c r="V110" s="22">
        <f t="shared" si="9"/>
        <v>2044</v>
      </c>
      <c r="W110" s="22">
        <f t="shared" si="9"/>
        <v>3877</v>
      </c>
      <c r="X110" s="22">
        <f t="shared" si="9"/>
        <v>60214</v>
      </c>
      <c r="Y110" s="22">
        <f t="shared" si="9"/>
        <v>173019</v>
      </c>
      <c r="Z110" s="22">
        <f t="shared" si="9"/>
        <v>126241</v>
      </c>
      <c r="AA110" s="22">
        <f t="shared" si="9"/>
        <v>93468</v>
      </c>
      <c r="AB110" s="22">
        <f t="shared" si="9"/>
        <v>28278</v>
      </c>
      <c r="AC110" s="22">
        <f t="shared" si="9"/>
        <v>60175</v>
      </c>
      <c r="AD110" s="22">
        <f t="shared" si="9"/>
        <v>2614</v>
      </c>
      <c r="AE110" s="22">
        <f t="shared" si="9"/>
        <v>53944</v>
      </c>
      <c r="AF110" s="22">
        <f t="shared" si="9"/>
        <v>4758</v>
      </c>
      <c r="AG110" s="22">
        <f t="shared" si="9"/>
        <v>2698</v>
      </c>
      <c r="AH110" s="22">
        <f t="shared" si="9"/>
        <v>6219</v>
      </c>
      <c r="AI110" s="22">
        <f t="shared" si="9"/>
        <v>4879</v>
      </c>
      <c r="AJ110" s="22">
        <f>SUM(AJ4:AJ109)</f>
        <v>4643</v>
      </c>
      <c r="AK110" s="22">
        <f t="shared" si="9"/>
        <v>6571</v>
      </c>
      <c r="AL110" s="22">
        <f t="shared" si="9"/>
        <v>2486</v>
      </c>
      <c r="AM110" s="22">
        <f t="shared" si="9"/>
        <v>5780</v>
      </c>
      <c r="AN110" s="22">
        <f t="shared" si="9"/>
        <v>1538</v>
      </c>
      <c r="AO110" s="22">
        <f t="shared" si="9"/>
        <v>290393</v>
      </c>
      <c r="AP110" s="22">
        <f t="shared" si="9"/>
        <v>4528</v>
      </c>
      <c r="AQ110" s="22">
        <f t="shared" si="9"/>
        <v>6396</v>
      </c>
      <c r="AR110" s="22">
        <f t="shared" si="9"/>
        <v>214</v>
      </c>
      <c r="AS110" s="22">
        <f t="shared" si="9"/>
        <v>1104</v>
      </c>
      <c r="AT110" s="22">
        <f t="shared" si="9"/>
        <v>5750</v>
      </c>
      <c r="AU110" s="22">
        <f t="shared" si="9"/>
        <v>8768</v>
      </c>
    </row>
  </sheetData>
  <mergeCells count="11">
    <mergeCell ref="Y1:AJ1"/>
    <mergeCell ref="AK1:AL1"/>
    <mergeCell ref="AM1:AN1"/>
    <mergeCell ref="AO1:AO2"/>
    <mergeCell ref="AP1:AU1"/>
    <mergeCell ref="Q1:X1"/>
    <mergeCell ref="B1:B2"/>
    <mergeCell ref="C1:C2"/>
    <mergeCell ref="D1:D2"/>
    <mergeCell ref="E1:L1"/>
    <mergeCell ref="M1:P1"/>
  </mergeCells>
  <conditionalFormatting sqref="A4:A109">
    <cfRule type="colorScale" priority="1">
      <colorScale>
        <cfvo type="min"/>
        <cfvo type="percentile" val="50"/>
        <cfvo type="max"/>
        <color rgb="FF63BE7B"/>
        <color rgb="FFFFEB84"/>
        <color rgb="FFF8696B"/>
      </colorScale>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136DD-417F-4C15-B5DC-F48CBA4F8370}">
  <dimension ref="A1:AX106"/>
  <sheetViews>
    <sheetView zoomScale="60" zoomScaleNormal="60" workbookViewId="0">
      <pane ySplit="3" topLeftCell="A64" activePane="bottomLeft" state="frozen"/>
      <selection pane="bottomLeft" activeCell="A2" sqref="A2"/>
    </sheetView>
  </sheetViews>
  <sheetFormatPr defaultRowHeight="14.5" x14ac:dyDescent="0.35"/>
  <cols>
    <col min="1" max="1" width="40.54296875" bestFit="1" customWidth="1"/>
    <col min="2" max="2" width="13.453125" customWidth="1"/>
  </cols>
  <sheetData>
    <row r="1" spans="1:50" x14ac:dyDescent="0.35">
      <c r="A1" s="26" t="s">
        <v>151</v>
      </c>
      <c r="B1" s="103" t="s">
        <v>152</v>
      </c>
      <c r="C1" s="105" t="s">
        <v>1</v>
      </c>
      <c r="D1" s="105" t="s">
        <v>2</v>
      </c>
      <c r="E1" s="97" t="s">
        <v>3</v>
      </c>
      <c r="F1" s="97"/>
      <c r="G1" s="97"/>
      <c r="H1" s="97"/>
      <c r="I1" s="97"/>
      <c r="J1" s="97"/>
      <c r="K1" s="97"/>
      <c r="L1" s="97"/>
      <c r="M1" s="97" t="s">
        <v>4</v>
      </c>
      <c r="N1" s="97"/>
      <c r="O1" s="97"/>
      <c r="P1" s="97"/>
      <c r="Q1" s="97" t="s">
        <v>5</v>
      </c>
      <c r="R1" s="97"/>
      <c r="S1" s="97"/>
      <c r="T1" s="97"/>
      <c r="U1" s="97"/>
      <c r="V1" s="97"/>
      <c r="W1" s="97"/>
      <c r="X1" s="97"/>
      <c r="Y1" s="98" t="s">
        <v>6</v>
      </c>
      <c r="Z1" s="99"/>
      <c r="AA1" s="99"/>
      <c r="AB1" s="99"/>
      <c r="AC1" s="99"/>
      <c r="AD1" s="99"/>
      <c r="AE1" s="99"/>
      <c r="AF1" s="100" t="s">
        <v>153</v>
      </c>
      <c r="AG1" s="97" t="s">
        <v>7</v>
      </c>
      <c r="AH1" s="97"/>
      <c r="AI1" s="102" t="s">
        <v>8</v>
      </c>
      <c r="AJ1" s="102"/>
      <c r="AK1" s="100" t="s">
        <v>154</v>
      </c>
      <c r="AL1" s="102" t="s">
        <v>155</v>
      </c>
      <c r="AM1" s="102"/>
      <c r="AN1" s="102"/>
      <c r="AO1" s="102"/>
      <c r="AP1" s="102"/>
      <c r="AQ1" s="102"/>
      <c r="AR1" s="102"/>
      <c r="AS1" s="38"/>
      <c r="AT1" s="97" t="s">
        <v>156</v>
      </c>
      <c r="AU1" s="97"/>
      <c r="AV1" s="97"/>
      <c r="AW1" s="97"/>
      <c r="AX1" s="97"/>
    </row>
    <row r="2" spans="1:50" ht="52" x14ac:dyDescent="0.35">
      <c r="A2" s="27" t="s">
        <v>201</v>
      </c>
      <c r="B2" s="104"/>
      <c r="C2" s="106"/>
      <c r="D2" s="106"/>
      <c r="E2" s="28" t="s">
        <v>11</v>
      </c>
      <c r="F2" s="28" t="s">
        <v>12</v>
      </c>
      <c r="G2" s="28" t="s">
        <v>13</v>
      </c>
      <c r="H2" s="29" t="s">
        <v>14</v>
      </c>
      <c r="I2" s="28" t="s">
        <v>15</v>
      </c>
      <c r="J2" s="28" t="s">
        <v>16</v>
      </c>
      <c r="K2" s="28" t="s">
        <v>17</v>
      </c>
      <c r="L2" s="28" t="s">
        <v>18</v>
      </c>
      <c r="M2" s="28" t="s">
        <v>19</v>
      </c>
      <c r="N2" s="28" t="s">
        <v>20</v>
      </c>
      <c r="O2" s="28" t="s">
        <v>17</v>
      </c>
      <c r="P2" s="28" t="s">
        <v>18</v>
      </c>
      <c r="Q2" s="28" t="s">
        <v>21</v>
      </c>
      <c r="R2" s="28" t="s">
        <v>22</v>
      </c>
      <c r="S2" s="28" t="s">
        <v>23</v>
      </c>
      <c r="T2" s="28" t="s">
        <v>24</v>
      </c>
      <c r="U2" s="28" t="s">
        <v>25</v>
      </c>
      <c r="V2" s="28" t="s">
        <v>26</v>
      </c>
      <c r="W2" s="28" t="s">
        <v>16</v>
      </c>
      <c r="X2" s="28" t="s">
        <v>18</v>
      </c>
      <c r="Y2" s="28" t="s">
        <v>27</v>
      </c>
      <c r="Z2" s="28" t="s">
        <v>28</v>
      </c>
      <c r="AA2" s="28" t="s">
        <v>29</v>
      </c>
      <c r="AB2" s="28" t="s">
        <v>30</v>
      </c>
      <c r="AC2" s="28" t="s">
        <v>31</v>
      </c>
      <c r="AD2" s="28" t="s">
        <v>32</v>
      </c>
      <c r="AE2" s="28" t="s">
        <v>33</v>
      </c>
      <c r="AF2" s="101"/>
      <c r="AG2" s="28" t="s">
        <v>38</v>
      </c>
      <c r="AH2" s="28" t="s">
        <v>39</v>
      </c>
      <c r="AI2" s="29" t="s">
        <v>40</v>
      </c>
      <c r="AJ2" s="29" t="s">
        <v>41</v>
      </c>
      <c r="AK2" s="101"/>
      <c r="AL2" s="28" t="s">
        <v>157</v>
      </c>
      <c r="AM2" s="29" t="s">
        <v>158</v>
      </c>
      <c r="AN2" s="29" t="s">
        <v>159</v>
      </c>
      <c r="AO2" s="29" t="s">
        <v>160</v>
      </c>
      <c r="AP2" s="29" t="s">
        <v>161</v>
      </c>
      <c r="AQ2" s="28" t="s">
        <v>162</v>
      </c>
      <c r="AR2" s="28" t="s">
        <v>17</v>
      </c>
      <c r="AS2" s="28" t="s">
        <v>18</v>
      </c>
      <c r="AT2" s="28" t="s">
        <v>163</v>
      </c>
      <c r="AU2" s="28" t="s">
        <v>164</v>
      </c>
      <c r="AV2" s="28" t="s">
        <v>165</v>
      </c>
      <c r="AW2" s="28" t="s">
        <v>166</v>
      </c>
      <c r="AX2" s="28" t="s">
        <v>16</v>
      </c>
    </row>
    <row r="3" spans="1:50" x14ac:dyDescent="0.35">
      <c r="A3" s="30" t="s">
        <v>48</v>
      </c>
      <c r="B3" s="39">
        <v>10042802</v>
      </c>
      <c r="C3" s="32">
        <f t="shared" ref="C3:AX3" si="0">SUM(C4:C105)</f>
        <v>24789</v>
      </c>
      <c r="D3" s="37">
        <f t="shared" si="0"/>
        <v>10036</v>
      </c>
      <c r="E3" s="32">
        <f t="shared" si="0"/>
        <v>5649</v>
      </c>
      <c r="F3" s="32">
        <f t="shared" si="0"/>
        <v>2063</v>
      </c>
      <c r="G3" s="32">
        <f t="shared" si="0"/>
        <v>1087</v>
      </c>
      <c r="H3" s="32">
        <f t="shared" si="0"/>
        <v>65</v>
      </c>
      <c r="I3" s="32">
        <f t="shared" si="0"/>
        <v>75</v>
      </c>
      <c r="J3" s="32">
        <f t="shared" si="0"/>
        <v>769</v>
      </c>
      <c r="K3" s="32">
        <f t="shared" si="0"/>
        <v>328</v>
      </c>
      <c r="L3" s="37">
        <f t="shared" si="0"/>
        <v>10036</v>
      </c>
      <c r="M3" s="32">
        <f t="shared" si="0"/>
        <v>8471</v>
      </c>
      <c r="N3" s="32">
        <f t="shared" si="0"/>
        <v>1506</v>
      </c>
      <c r="O3" s="32">
        <f t="shared" si="0"/>
        <v>59</v>
      </c>
      <c r="P3" s="37">
        <f t="shared" si="0"/>
        <v>10036</v>
      </c>
      <c r="Q3" s="32">
        <f t="shared" si="0"/>
        <v>1232</v>
      </c>
      <c r="R3" s="32">
        <f t="shared" si="0"/>
        <v>1233</v>
      </c>
      <c r="S3" s="32">
        <f t="shared" si="0"/>
        <v>1985</v>
      </c>
      <c r="T3" s="32">
        <f t="shared" si="0"/>
        <v>2868</v>
      </c>
      <c r="U3" s="32">
        <f t="shared" si="0"/>
        <v>1665</v>
      </c>
      <c r="V3" s="32">
        <f t="shared" si="0"/>
        <v>297</v>
      </c>
      <c r="W3" s="32">
        <f t="shared" si="0"/>
        <v>756</v>
      </c>
      <c r="X3" s="37">
        <f t="shared" si="0"/>
        <v>10036</v>
      </c>
      <c r="Y3" s="32">
        <f t="shared" si="0"/>
        <v>41149</v>
      </c>
      <c r="Z3" s="32">
        <f t="shared" si="0"/>
        <v>27272</v>
      </c>
      <c r="AA3" s="32">
        <f t="shared" si="0"/>
        <v>11358</v>
      </c>
      <c r="AB3" s="32">
        <f t="shared" si="0"/>
        <v>4470</v>
      </c>
      <c r="AC3" s="32">
        <f t="shared" si="0"/>
        <v>25169</v>
      </c>
      <c r="AD3" s="32">
        <f t="shared" si="0"/>
        <v>1560</v>
      </c>
      <c r="AE3" s="32">
        <f t="shared" si="0"/>
        <v>3867</v>
      </c>
      <c r="AF3" s="32">
        <f t="shared" si="0"/>
        <v>176</v>
      </c>
      <c r="AG3" s="32">
        <f t="shared" si="0"/>
        <v>3115</v>
      </c>
      <c r="AH3" s="32">
        <f t="shared" si="0"/>
        <v>555</v>
      </c>
      <c r="AI3" s="32">
        <f t="shared" si="0"/>
        <v>4409</v>
      </c>
      <c r="AJ3" s="32">
        <f t="shared" si="0"/>
        <v>1217</v>
      </c>
      <c r="AK3" s="32">
        <f t="shared" si="0"/>
        <v>253585</v>
      </c>
      <c r="AL3" s="32">
        <f t="shared" si="0"/>
        <v>3638</v>
      </c>
      <c r="AM3" s="32">
        <f t="shared" si="0"/>
        <v>491</v>
      </c>
      <c r="AN3" s="32">
        <f t="shared" si="0"/>
        <v>1312</v>
      </c>
      <c r="AO3" s="32">
        <f t="shared" si="0"/>
        <v>604</v>
      </c>
      <c r="AP3" s="32">
        <f t="shared" si="0"/>
        <v>1954</v>
      </c>
      <c r="AQ3" s="32">
        <f t="shared" si="0"/>
        <v>438</v>
      </c>
      <c r="AR3" s="32">
        <f t="shared" si="0"/>
        <v>1592</v>
      </c>
      <c r="AS3" s="37">
        <f t="shared" si="0"/>
        <v>10029</v>
      </c>
      <c r="AT3" s="32">
        <f t="shared" si="0"/>
        <v>2818</v>
      </c>
      <c r="AU3" s="32">
        <f t="shared" si="0"/>
        <v>2720</v>
      </c>
      <c r="AV3" s="32">
        <f t="shared" si="0"/>
        <v>1490</v>
      </c>
      <c r="AW3" s="32">
        <f t="shared" si="0"/>
        <v>646</v>
      </c>
      <c r="AX3" s="32">
        <f t="shared" si="0"/>
        <v>2256</v>
      </c>
    </row>
    <row r="4" spans="1:50" x14ac:dyDescent="0.35">
      <c r="A4" s="23" t="s">
        <v>49</v>
      </c>
      <c r="B4" s="7">
        <v>163339</v>
      </c>
      <c r="C4" s="33">
        <f>92+43</f>
        <v>135</v>
      </c>
      <c r="D4" s="33">
        <f>184+113</f>
        <v>297</v>
      </c>
      <c r="E4" s="8">
        <f>89+40</f>
        <v>129</v>
      </c>
      <c r="F4" s="8">
        <f>39+22</f>
        <v>61</v>
      </c>
      <c r="G4" s="8">
        <f>37+23</f>
        <v>60</v>
      </c>
      <c r="H4" s="8">
        <v>3</v>
      </c>
      <c r="I4" s="8">
        <v>0</v>
      </c>
      <c r="J4" s="8">
        <v>3</v>
      </c>
      <c r="K4" s="8">
        <f>16+25</f>
        <v>41</v>
      </c>
      <c r="L4" s="8">
        <f>SUM(E4:K4)</f>
        <v>297</v>
      </c>
      <c r="M4" s="8">
        <f>140+84</f>
        <v>224</v>
      </c>
      <c r="N4" s="8">
        <f>44+29</f>
        <v>73</v>
      </c>
      <c r="O4" s="8">
        <v>0</v>
      </c>
      <c r="P4" s="8">
        <f>SUM(M4:O4)</f>
        <v>297</v>
      </c>
      <c r="Q4" s="8">
        <f>91+36</f>
        <v>127</v>
      </c>
      <c r="R4" s="8">
        <f>58+28</f>
        <v>86</v>
      </c>
      <c r="S4" s="8">
        <v>22</v>
      </c>
      <c r="T4" s="8">
        <v>34</v>
      </c>
      <c r="U4" s="8">
        <v>17</v>
      </c>
      <c r="V4" s="8">
        <v>0</v>
      </c>
      <c r="W4" s="8">
        <v>11</v>
      </c>
      <c r="X4" s="8">
        <f>SUM(Q4:W4)</f>
        <v>297</v>
      </c>
      <c r="Y4" s="8">
        <f>673+1268</f>
        <v>1941</v>
      </c>
      <c r="Z4" s="8">
        <f>455+1171</f>
        <v>1626</v>
      </c>
      <c r="AA4" s="8">
        <f>108+264</f>
        <v>372</v>
      </c>
      <c r="AB4" s="8">
        <f>13+6</f>
        <v>19</v>
      </c>
      <c r="AC4" s="8">
        <f>22+19</f>
        <v>41</v>
      </c>
      <c r="AD4" s="8">
        <v>5</v>
      </c>
      <c r="AE4" s="8">
        <f>52+96</f>
        <v>148</v>
      </c>
      <c r="AF4" s="8">
        <v>0</v>
      </c>
      <c r="AG4" s="8">
        <v>38</v>
      </c>
      <c r="AH4" s="8">
        <v>0</v>
      </c>
      <c r="AI4" s="8">
        <v>58</v>
      </c>
      <c r="AJ4" s="8">
        <v>16</v>
      </c>
      <c r="AK4" s="8">
        <f>3614+3255</f>
        <v>6869</v>
      </c>
      <c r="AL4" s="8">
        <f>23+25</f>
        <v>48</v>
      </c>
      <c r="AM4" s="8">
        <v>5</v>
      </c>
      <c r="AN4" s="8">
        <v>9</v>
      </c>
      <c r="AO4" s="8">
        <v>0</v>
      </c>
      <c r="AP4" s="8">
        <f>116+64</f>
        <v>180</v>
      </c>
      <c r="AQ4" s="8">
        <v>0</v>
      </c>
      <c r="AR4" s="8">
        <f>39+16</f>
        <v>55</v>
      </c>
      <c r="AS4" s="8">
        <f>SUM(AL4:AR4)</f>
        <v>297</v>
      </c>
      <c r="AT4" s="8">
        <f>78+55</f>
        <v>133</v>
      </c>
      <c r="AU4" s="8">
        <f>39+8</f>
        <v>47</v>
      </c>
      <c r="AV4" s="8">
        <v>19</v>
      </c>
      <c r="AW4" s="8">
        <v>8</v>
      </c>
      <c r="AX4" s="8">
        <v>15</v>
      </c>
    </row>
    <row r="5" spans="1:50" x14ac:dyDescent="0.35">
      <c r="A5" s="23" t="s">
        <v>50</v>
      </c>
      <c r="B5" s="10">
        <v>38206</v>
      </c>
      <c r="C5" s="34">
        <v>2</v>
      </c>
      <c r="D5" s="34">
        <v>2</v>
      </c>
      <c r="E5" s="35">
        <v>2</v>
      </c>
      <c r="F5" s="35">
        <v>0</v>
      </c>
      <c r="G5" s="35">
        <v>0</v>
      </c>
      <c r="H5" s="35">
        <v>0</v>
      </c>
      <c r="I5" s="35">
        <v>0</v>
      </c>
      <c r="J5" s="35">
        <v>0</v>
      </c>
      <c r="K5" s="35">
        <v>0</v>
      </c>
      <c r="L5" s="35">
        <f t="shared" ref="L5:L67" si="1">SUM(E5:K5)</f>
        <v>2</v>
      </c>
      <c r="M5" s="35">
        <v>2</v>
      </c>
      <c r="N5" s="35">
        <v>0</v>
      </c>
      <c r="O5" s="35">
        <v>0</v>
      </c>
      <c r="P5" s="35">
        <f t="shared" ref="P5:P67" si="2">SUM(M5:O5)</f>
        <v>2</v>
      </c>
      <c r="Q5" s="35">
        <v>0</v>
      </c>
      <c r="R5" s="35">
        <v>0</v>
      </c>
      <c r="S5" s="35">
        <v>1</v>
      </c>
      <c r="T5" s="35">
        <v>1</v>
      </c>
      <c r="U5" s="35">
        <v>0</v>
      </c>
      <c r="V5" s="35">
        <v>0</v>
      </c>
      <c r="W5" s="35">
        <v>0</v>
      </c>
      <c r="X5" s="35">
        <f t="shared" ref="X5:X67" si="3">SUM(Q5:W5)</f>
        <v>2</v>
      </c>
      <c r="Y5" s="35">
        <v>2</v>
      </c>
      <c r="Z5" s="35">
        <v>2</v>
      </c>
      <c r="AA5" s="35">
        <v>2</v>
      </c>
      <c r="AB5" s="35">
        <v>0</v>
      </c>
      <c r="AC5" s="35">
        <v>2</v>
      </c>
      <c r="AD5" s="35">
        <v>0</v>
      </c>
      <c r="AE5" s="35">
        <v>2</v>
      </c>
      <c r="AF5" s="35">
        <v>0</v>
      </c>
      <c r="AG5" s="35">
        <v>4</v>
      </c>
      <c r="AH5" s="35">
        <v>0</v>
      </c>
      <c r="AI5" s="35">
        <v>12</v>
      </c>
      <c r="AJ5" s="35">
        <v>0</v>
      </c>
      <c r="AK5" s="35">
        <v>0</v>
      </c>
      <c r="AL5" s="35">
        <v>1</v>
      </c>
      <c r="AM5" s="35">
        <v>0</v>
      </c>
      <c r="AN5" s="35">
        <v>0</v>
      </c>
      <c r="AO5" s="35">
        <v>1</v>
      </c>
      <c r="AP5" s="35">
        <v>0</v>
      </c>
      <c r="AQ5" s="35">
        <v>0</v>
      </c>
      <c r="AR5" s="35">
        <v>0</v>
      </c>
      <c r="AS5" s="35">
        <v>2</v>
      </c>
      <c r="AT5" s="35">
        <v>0</v>
      </c>
      <c r="AU5" s="35">
        <v>1</v>
      </c>
      <c r="AV5" s="35">
        <v>1</v>
      </c>
      <c r="AW5" s="35">
        <v>0</v>
      </c>
      <c r="AX5" s="35">
        <v>0</v>
      </c>
    </row>
    <row r="6" spans="1:50" x14ac:dyDescent="0.35">
      <c r="A6" s="23" t="s">
        <v>196</v>
      </c>
      <c r="B6" s="13">
        <v>11387</v>
      </c>
      <c r="C6" s="33">
        <f>808+780</f>
        <v>1588</v>
      </c>
      <c r="D6" s="33">
        <f>28+24</f>
        <v>52</v>
      </c>
      <c r="E6" s="8">
        <f>15+14</f>
        <v>29</v>
      </c>
      <c r="F6" s="8">
        <v>5</v>
      </c>
      <c r="G6" s="8">
        <v>9</v>
      </c>
      <c r="H6" s="8">
        <v>0</v>
      </c>
      <c r="I6" s="8">
        <v>0</v>
      </c>
      <c r="J6" s="8">
        <v>9</v>
      </c>
      <c r="K6" s="8">
        <v>0</v>
      </c>
      <c r="L6" s="8">
        <f t="shared" si="1"/>
        <v>52</v>
      </c>
      <c r="M6" s="8">
        <f>22+21</f>
        <v>43</v>
      </c>
      <c r="N6" s="8">
        <v>9</v>
      </c>
      <c r="O6" s="8">
        <v>0</v>
      </c>
      <c r="P6" s="8">
        <f t="shared" si="2"/>
        <v>52</v>
      </c>
      <c r="Q6" s="8">
        <v>5</v>
      </c>
      <c r="R6" s="8">
        <v>8</v>
      </c>
      <c r="S6" s="8">
        <v>8</v>
      </c>
      <c r="T6" s="8">
        <v>19</v>
      </c>
      <c r="U6" s="8">
        <v>6</v>
      </c>
      <c r="V6" s="8">
        <v>3</v>
      </c>
      <c r="W6" s="8">
        <v>3</v>
      </c>
      <c r="X6" s="8">
        <f t="shared" si="3"/>
        <v>52</v>
      </c>
      <c r="Y6" s="8">
        <f>196+70</f>
        <v>266</v>
      </c>
      <c r="Z6" s="8">
        <f>95+40</f>
        <v>135</v>
      </c>
      <c r="AA6" s="8">
        <f>112+72</f>
        <v>184</v>
      </c>
      <c r="AB6" s="8">
        <v>12</v>
      </c>
      <c r="AC6" s="8">
        <f>42+30</f>
        <v>72</v>
      </c>
      <c r="AD6" s="8">
        <v>2</v>
      </c>
      <c r="AE6" s="8">
        <v>2</v>
      </c>
      <c r="AF6" s="8">
        <v>9</v>
      </c>
      <c r="AG6" s="8">
        <v>14</v>
      </c>
      <c r="AH6" s="8">
        <v>19</v>
      </c>
      <c r="AI6" s="8">
        <f>67+21</f>
        <v>88</v>
      </c>
      <c r="AJ6" s="8">
        <v>6</v>
      </c>
      <c r="AK6" s="8">
        <f>359+1130</f>
        <v>1489</v>
      </c>
      <c r="AL6" s="8">
        <v>15</v>
      </c>
      <c r="AM6" s="8">
        <v>2</v>
      </c>
      <c r="AN6" s="8">
        <v>6</v>
      </c>
      <c r="AO6" s="8">
        <v>3</v>
      </c>
      <c r="AP6" s="8">
        <v>12</v>
      </c>
      <c r="AQ6" s="8">
        <v>5</v>
      </c>
      <c r="AR6" s="8">
        <v>9</v>
      </c>
      <c r="AS6" s="8">
        <f t="shared" ref="AS6:AS67" si="4">SUM(AL6:AR6)</f>
        <v>52</v>
      </c>
      <c r="AT6" s="8">
        <v>13</v>
      </c>
      <c r="AU6" s="8">
        <v>16</v>
      </c>
      <c r="AV6" s="8">
        <v>4</v>
      </c>
      <c r="AW6" s="8">
        <v>5</v>
      </c>
      <c r="AX6" s="8">
        <v>14</v>
      </c>
    </row>
    <row r="7" spans="1:50" x14ac:dyDescent="0.35">
      <c r="A7" s="23" t="s">
        <v>52</v>
      </c>
      <c r="B7" s="15">
        <v>25460</v>
      </c>
      <c r="C7" s="34">
        <v>26</v>
      </c>
      <c r="D7" s="34">
        <v>16</v>
      </c>
      <c r="E7" s="35">
        <v>12</v>
      </c>
      <c r="F7" s="35">
        <v>4</v>
      </c>
      <c r="G7" s="35">
        <v>0</v>
      </c>
      <c r="H7" s="35">
        <v>0</v>
      </c>
      <c r="I7" s="35">
        <v>0</v>
      </c>
      <c r="J7" s="35">
        <v>0</v>
      </c>
      <c r="K7" s="35">
        <v>0</v>
      </c>
      <c r="L7" s="35">
        <f t="shared" si="1"/>
        <v>16</v>
      </c>
      <c r="M7" s="35">
        <v>16</v>
      </c>
      <c r="N7" s="35">
        <v>0</v>
      </c>
      <c r="O7" s="35">
        <v>0</v>
      </c>
      <c r="P7" s="35">
        <f t="shared" si="2"/>
        <v>16</v>
      </c>
      <c r="Q7" s="35">
        <v>3</v>
      </c>
      <c r="R7" s="35">
        <v>1</v>
      </c>
      <c r="S7" s="35">
        <v>3</v>
      </c>
      <c r="T7" s="35">
        <v>2</v>
      </c>
      <c r="U7" s="35">
        <v>7</v>
      </c>
      <c r="V7" s="35">
        <v>0</v>
      </c>
      <c r="W7" s="35">
        <v>0</v>
      </c>
      <c r="X7" s="35">
        <f t="shared" si="3"/>
        <v>16</v>
      </c>
      <c r="Y7" s="35">
        <v>21</v>
      </c>
      <c r="Z7" s="35">
        <v>17</v>
      </c>
      <c r="AA7" s="35">
        <v>10</v>
      </c>
      <c r="AB7" s="35">
        <v>1</v>
      </c>
      <c r="AC7" s="35">
        <v>26</v>
      </c>
      <c r="AD7" s="35">
        <v>3</v>
      </c>
      <c r="AE7" s="35">
        <v>7</v>
      </c>
      <c r="AF7" s="35">
        <v>2</v>
      </c>
      <c r="AG7" s="35">
        <v>0</v>
      </c>
      <c r="AH7" s="35">
        <v>0</v>
      </c>
      <c r="AI7" s="35">
        <v>17</v>
      </c>
      <c r="AJ7" s="35">
        <v>9</v>
      </c>
      <c r="AK7" s="35">
        <f>66+75</f>
        <v>141</v>
      </c>
      <c r="AL7" s="35">
        <v>7</v>
      </c>
      <c r="AM7" s="35">
        <v>0</v>
      </c>
      <c r="AN7" s="35">
        <v>0</v>
      </c>
      <c r="AO7" s="35">
        <v>0</v>
      </c>
      <c r="AP7" s="35">
        <v>2</v>
      </c>
      <c r="AQ7" s="35">
        <v>2</v>
      </c>
      <c r="AR7" s="35">
        <v>5</v>
      </c>
      <c r="AS7" s="35">
        <f t="shared" si="4"/>
        <v>16</v>
      </c>
      <c r="AT7" s="35">
        <v>2</v>
      </c>
      <c r="AU7" s="35">
        <v>5</v>
      </c>
      <c r="AV7" s="35">
        <v>4</v>
      </c>
      <c r="AW7" s="35">
        <v>5</v>
      </c>
      <c r="AX7" s="35">
        <v>0</v>
      </c>
    </row>
    <row r="8" spans="1:50" x14ac:dyDescent="0.35">
      <c r="A8" s="23" t="s">
        <v>53</v>
      </c>
      <c r="B8" s="7">
        <v>27418</v>
      </c>
      <c r="C8" s="33">
        <f>13+35</f>
        <v>48</v>
      </c>
      <c r="D8" s="33">
        <f>19+24</f>
        <v>43</v>
      </c>
      <c r="E8" s="8">
        <f>18+22</f>
        <v>40</v>
      </c>
      <c r="F8" s="8">
        <v>0</v>
      </c>
      <c r="G8" s="8">
        <v>2</v>
      </c>
      <c r="H8" s="8">
        <v>0</v>
      </c>
      <c r="I8" s="8">
        <v>0</v>
      </c>
      <c r="J8" s="8">
        <v>0</v>
      </c>
      <c r="K8" s="8">
        <v>1</v>
      </c>
      <c r="L8" s="8">
        <f t="shared" si="1"/>
        <v>43</v>
      </c>
      <c r="M8" s="8">
        <f>17+18</f>
        <v>35</v>
      </c>
      <c r="N8" s="8">
        <v>8</v>
      </c>
      <c r="O8" s="8">
        <v>0</v>
      </c>
      <c r="P8" s="8">
        <f t="shared" si="2"/>
        <v>43</v>
      </c>
      <c r="Q8" s="8">
        <v>7</v>
      </c>
      <c r="R8" s="8">
        <v>5</v>
      </c>
      <c r="S8" s="8">
        <v>5</v>
      </c>
      <c r="T8" s="8">
        <v>15</v>
      </c>
      <c r="U8" s="8">
        <v>8</v>
      </c>
      <c r="V8" s="8">
        <v>3</v>
      </c>
      <c r="W8" s="8">
        <v>0</v>
      </c>
      <c r="X8" s="8">
        <f t="shared" si="3"/>
        <v>43</v>
      </c>
      <c r="Y8" s="8">
        <f>76+273</f>
        <v>349</v>
      </c>
      <c r="Z8" s="8">
        <f>37+178</f>
        <v>215</v>
      </c>
      <c r="AA8" s="8" t="s">
        <v>188</v>
      </c>
      <c r="AB8" s="8">
        <v>58</v>
      </c>
      <c r="AC8" s="8">
        <f>153+353</f>
        <v>506</v>
      </c>
      <c r="AD8" s="8">
        <v>12</v>
      </c>
      <c r="AE8" s="8">
        <f>78+55</f>
        <v>133</v>
      </c>
      <c r="AF8" s="8">
        <v>4</v>
      </c>
      <c r="AG8" s="8">
        <v>10</v>
      </c>
      <c r="AH8" s="8">
        <v>2</v>
      </c>
      <c r="AI8" s="8">
        <v>15</v>
      </c>
      <c r="AJ8" s="8">
        <v>3</v>
      </c>
      <c r="AK8" s="8">
        <f>440+451</f>
        <v>891</v>
      </c>
      <c r="AL8" s="8">
        <v>15</v>
      </c>
      <c r="AM8" s="8">
        <v>7</v>
      </c>
      <c r="AN8" s="8">
        <v>2</v>
      </c>
      <c r="AO8" s="8">
        <v>6</v>
      </c>
      <c r="AP8" s="8">
        <v>9</v>
      </c>
      <c r="AQ8" s="8">
        <v>0</v>
      </c>
      <c r="AR8" s="8">
        <v>4</v>
      </c>
      <c r="AS8" s="8">
        <f t="shared" si="4"/>
        <v>43</v>
      </c>
      <c r="AT8" s="8">
        <v>10</v>
      </c>
      <c r="AU8" s="8">
        <v>5</v>
      </c>
      <c r="AV8" s="8">
        <v>14</v>
      </c>
      <c r="AW8" s="8">
        <v>11</v>
      </c>
      <c r="AX8" s="8">
        <v>3</v>
      </c>
    </row>
    <row r="9" spans="1:50" x14ac:dyDescent="0.35">
      <c r="A9" s="23" t="s">
        <v>54</v>
      </c>
      <c r="B9" s="16">
        <v>17953</v>
      </c>
      <c r="C9" s="34">
        <f>48+16</f>
        <v>64</v>
      </c>
      <c r="D9" s="34">
        <v>9</v>
      </c>
      <c r="E9" s="35">
        <v>9</v>
      </c>
      <c r="F9" s="35">
        <v>0</v>
      </c>
      <c r="G9" s="35">
        <v>0</v>
      </c>
      <c r="H9" s="35">
        <v>0</v>
      </c>
      <c r="I9" s="35">
        <v>0</v>
      </c>
      <c r="J9" s="35">
        <v>0</v>
      </c>
      <c r="K9" s="35">
        <v>0</v>
      </c>
      <c r="L9" s="35">
        <f t="shared" si="1"/>
        <v>9</v>
      </c>
      <c r="M9" s="35">
        <v>8</v>
      </c>
      <c r="N9" s="35">
        <v>1</v>
      </c>
      <c r="O9" s="35">
        <v>0</v>
      </c>
      <c r="P9" s="35">
        <f t="shared" si="2"/>
        <v>9</v>
      </c>
      <c r="Q9" s="35">
        <v>0</v>
      </c>
      <c r="R9" s="35">
        <v>4</v>
      </c>
      <c r="S9" s="35">
        <v>1</v>
      </c>
      <c r="T9" s="35">
        <v>2</v>
      </c>
      <c r="U9" s="35">
        <v>1</v>
      </c>
      <c r="V9" s="35">
        <v>1</v>
      </c>
      <c r="W9" s="35">
        <v>0</v>
      </c>
      <c r="X9" s="35">
        <f t="shared" si="3"/>
        <v>9</v>
      </c>
      <c r="Y9" s="35">
        <f>26+18</f>
        <v>44</v>
      </c>
      <c r="Z9" s="35">
        <f>27+8</f>
        <v>35</v>
      </c>
      <c r="AA9" s="35">
        <v>29</v>
      </c>
      <c r="AB9" s="35">
        <v>3</v>
      </c>
      <c r="AC9" s="35">
        <v>19</v>
      </c>
      <c r="AD9" s="35">
        <v>2</v>
      </c>
      <c r="AE9" s="35">
        <v>30</v>
      </c>
      <c r="AF9" s="35">
        <v>0</v>
      </c>
      <c r="AG9" s="35">
        <v>0</v>
      </c>
      <c r="AH9" s="35">
        <v>0</v>
      </c>
      <c r="AI9" s="35">
        <f>19+25</f>
        <v>44</v>
      </c>
      <c r="AJ9" s="35">
        <v>13</v>
      </c>
      <c r="AK9" s="35">
        <f>1380+2452</f>
        <v>3832</v>
      </c>
      <c r="AL9" s="35">
        <v>7</v>
      </c>
      <c r="AM9" s="35">
        <v>0</v>
      </c>
      <c r="AN9" s="35">
        <v>0</v>
      </c>
      <c r="AO9" s="35">
        <v>0</v>
      </c>
      <c r="AP9" s="35">
        <v>2</v>
      </c>
      <c r="AQ9" s="35">
        <v>0</v>
      </c>
      <c r="AR9" s="35">
        <v>0</v>
      </c>
      <c r="AS9" s="35">
        <f t="shared" si="4"/>
        <v>9</v>
      </c>
      <c r="AT9" s="35">
        <v>1</v>
      </c>
      <c r="AU9" s="35">
        <v>4</v>
      </c>
      <c r="AV9" s="35">
        <v>3</v>
      </c>
      <c r="AW9" s="35">
        <v>0</v>
      </c>
      <c r="AX9" s="35">
        <v>1</v>
      </c>
    </row>
    <row r="10" spans="1:50" x14ac:dyDescent="0.35">
      <c r="A10" s="23" t="s">
        <v>55</v>
      </c>
      <c r="B10" s="17">
        <v>47504</v>
      </c>
      <c r="C10" s="33">
        <f>196+79</f>
        <v>275</v>
      </c>
      <c r="D10" s="33">
        <f>17+21</f>
        <v>38</v>
      </c>
      <c r="E10" s="8">
        <v>9</v>
      </c>
      <c r="F10" s="8">
        <v>20</v>
      </c>
      <c r="G10" s="8">
        <v>8</v>
      </c>
      <c r="H10" s="8">
        <v>0</v>
      </c>
      <c r="I10" s="8">
        <v>0</v>
      </c>
      <c r="J10" s="8">
        <v>1</v>
      </c>
      <c r="K10" s="8">
        <v>0</v>
      </c>
      <c r="L10" s="8">
        <f t="shared" si="1"/>
        <v>38</v>
      </c>
      <c r="M10" s="8">
        <f>14+18</f>
        <v>32</v>
      </c>
      <c r="N10" s="8">
        <v>6</v>
      </c>
      <c r="O10" s="8">
        <v>0</v>
      </c>
      <c r="P10" s="8">
        <f t="shared" si="2"/>
        <v>38</v>
      </c>
      <c r="Q10" s="8">
        <v>5</v>
      </c>
      <c r="R10" s="8">
        <v>10</v>
      </c>
      <c r="S10" s="8">
        <v>5</v>
      </c>
      <c r="T10" s="8">
        <v>11</v>
      </c>
      <c r="U10" s="8">
        <v>6</v>
      </c>
      <c r="V10" s="8">
        <v>1</v>
      </c>
      <c r="W10" s="8">
        <v>0</v>
      </c>
      <c r="X10" s="8">
        <f t="shared" si="3"/>
        <v>38</v>
      </c>
      <c r="Y10" s="8">
        <f>102+21</f>
        <v>123</v>
      </c>
      <c r="Z10" s="8">
        <f>172+147</f>
        <v>319</v>
      </c>
      <c r="AA10" s="8">
        <v>27</v>
      </c>
      <c r="AB10" s="8">
        <v>0</v>
      </c>
      <c r="AC10" s="8">
        <v>36</v>
      </c>
      <c r="AD10" s="8">
        <v>1</v>
      </c>
      <c r="AE10" s="8">
        <v>9</v>
      </c>
      <c r="AF10" s="8">
        <v>0</v>
      </c>
      <c r="AG10" s="8">
        <v>0</v>
      </c>
      <c r="AH10" s="8">
        <v>0</v>
      </c>
      <c r="AI10" s="8">
        <f>23+25</f>
        <v>48</v>
      </c>
      <c r="AJ10" s="8">
        <f>7+9</f>
        <v>16</v>
      </c>
      <c r="AK10" s="8">
        <f>180+180</f>
        <v>360</v>
      </c>
      <c r="AL10" s="8">
        <v>12</v>
      </c>
      <c r="AM10" s="8">
        <v>2</v>
      </c>
      <c r="AN10" s="8">
        <v>0</v>
      </c>
      <c r="AO10" s="8">
        <v>0</v>
      </c>
      <c r="AP10" s="8">
        <v>9</v>
      </c>
      <c r="AQ10" s="8">
        <v>2</v>
      </c>
      <c r="AR10" s="8">
        <v>13</v>
      </c>
      <c r="AS10" s="8">
        <f t="shared" si="4"/>
        <v>38</v>
      </c>
      <c r="AT10" s="8">
        <v>4</v>
      </c>
      <c r="AU10" s="8">
        <v>15</v>
      </c>
      <c r="AV10" s="8">
        <v>4</v>
      </c>
      <c r="AW10" s="8">
        <v>4</v>
      </c>
      <c r="AX10" s="8">
        <v>6</v>
      </c>
    </row>
    <row r="11" spans="1:50" x14ac:dyDescent="0.35">
      <c r="A11" s="23" t="s">
        <v>56</v>
      </c>
      <c r="B11" s="16">
        <v>19802</v>
      </c>
      <c r="C11" s="34">
        <v>20</v>
      </c>
      <c r="D11" s="34">
        <v>10</v>
      </c>
      <c r="E11" s="35">
        <v>4</v>
      </c>
      <c r="F11" s="35">
        <v>6</v>
      </c>
      <c r="G11" s="35">
        <v>0</v>
      </c>
      <c r="H11" s="35">
        <v>0</v>
      </c>
      <c r="I11" s="35">
        <v>0</v>
      </c>
      <c r="J11" s="35">
        <v>0</v>
      </c>
      <c r="K11" s="35">
        <v>0</v>
      </c>
      <c r="L11" s="35">
        <f t="shared" si="1"/>
        <v>10</v>
      </c>
      <c r="M11" s="35">
        <v>9</v>
      </c>
      <c r="N11" s="35">
        <v>1</v>
      </c>
      <c r="O11" s="35">
        <v>0</v>
      </c>
      <c r="P11" s="35">
        <f t="shared" si="2"/>
        <v>10</v>
      </c>
      <c r="Q11" s="35">
        <v>0</v>
      </c>
      <c r="R11" s="35">
        <v>0</v>
      </c>
      <c r="S11" s="35">
        <v>3</v>
      </c>
      <c r="T11" s="35">
        <v>6</v>
      </c>
      <c r="U11" s="35">
        <v>1</v>
      </c>
      <c r="V11" s="35">
        <v>0</v>
      </c>
      <c r="W11" s="35">
        <v>0</v>
      </c>
      <c r="X11" s="35">
        <f t="shared" si="3"/>
        <v>10</v>
      </c>
      <c r="Y11" s="35">
        <v>20</v>
      </c>
      <c r="Z11" s="35">
        <v>12</v>
      </c>
      <c r="AA11" s="35">
        <v>10</v>
      </c>
      <c r="AB11" s="35">
        <v>1</v>
      </c>
      <c r="AC11" s="35">
        <v>0</v>
      </c>
      <c r="AD11" s="35">
        <v>0</v>
      </c>
      <c r="AE11" s="35">
        <v>0</v>
      </c>
      <c r="AF11" s="35">
        <v>0</v>
      </c>
      <c r="AG11" s="35">
        <v>0</v>
      </c>
      <c r="AH11" s="35">
        <v>0</v>
      </c>
      <c r="AI11" s="35">
        <v>18</v>
      </c>
      <c r="AJ11" s="35">
        <v>4</v>
      </c>
      <c r="AK11" s="35">
        <v>1335</v>
      </c>
      <c r="AL11" s="35">
        <v>0</v>
      </c>
      <c r="AM11" s="35">
        <v>1</v>
      </c>
      <c r="AN11" s="35">
        <v>0</v>
      </c>
      <c r="AO11" s="35">
        <v>1</v>
      </c>
      <c r="AP11" s="35">
        <v>0</v>
      </c>
      <c r="AQ11" s="35">
        <v>3</v>
      </c>
      <c r="AR11" s="35">
        <v>5</v>
      </c>
      <c r="AS11" s="35">
        <f t="shared" si="4"/>
        <v>10</v>
      </c>
      <c r="AT11" s="35">
        <v>3</v>
      </c>
      <c r="AU11" s="35">
        <v>5</v>
      </c>
      <c r="AV11" s="35">
        <v>1</v>
      </c>
      <c r="AW11" s="35">
        <v>0</v>
      </c>
      <c r="AX11" s="35">
        <v>1</v>
      </c>
    </row>
    <row r="12" spans="1:50" x14ac:dyDescent="0.35">
      <c r="A12" s="23" t="s">
        <v>57</v>
      </c>
      <c r="B12" s="17">
        <v>34507</v>
      </c>
      <c r="C12" s="33">
        <f>21+28</f>
        <v>49</v>
      </c>
      <c r="D12" s="33">
        <f>62+65</f>
        <v>127</v>
      </c>
      <c r="E12" s="8">
        <f>19+28</f>
        <v>47</v>
      </c>
      <c r="F12" s="8">
        <v>27</v>
      </c>
      <c r="G12" s="8">
        <v>8</v>
      </c>
      <c r="H12" s="8">
        <v>2</v>
      </c>
      <c r="I12" s="8">
        <v>0</v>
      </c>
      <c r="J12" s="8">
        <v>23</v>
      </c>
      <c r="K12" s="8">
        <v>20</v>
      </c>
      <c r="L12" s="8">
        <f t="shared" si="1"/>
        <v>127</v>
      </c>
      <c r="M12" s="8">
        <f>58+59</f>
        <v>117</v>
      </c>
      <c r="N12" s="8">
        <v>10</v>
      </c>
      <c r="O12" s="8">
        <v>0</v>
      </c>
      <c r="P12" s="8">
        <f t="shared" si="2"/>
        <v>127</v>
      </c>
      <c r="Q12" s="8">
        <v>3</v>
      </c>
      <c r="R12" s="8">
        <v>12</v>
      </c>
      <c r="S12" s="8">
        <f>17+19</f>
        <v>36</v>
      </c>
      <c r="T12" s="8">
        <f>18+14</f>
        <v>32</v>
      </c>
      <c r="U12" s="8">
        <v>12</v>
      </c>
      <c r="V12" s="8">
        <v>5</v>
      </c>
      <c r="W12" s="8">
        <f>13+14</f>
        <v>27</v>
      </c>
      <c r="X12" s="8">
        <f t="shared" si="3"/>
        <v>127</v>
      </c>
      <c r="Y12" s="8">
        <f>88+92</f>
        <v>180</v>
      </c>
      <c r="Z12" s="8">
        <f>152+175</f>
        <v>327</v>
      </c>
      <c r="AA12" s="8">
        <f>68+78</f>
        <v>146</v>
      </c>
      <c r="AB12" s="8">
        <f>14+19</f>
        <v>33</v>
      </c>
      <c r="AC12" s="8">
        <f>66+69</f>
        <v>135</v>
      </c>
      <c r="AD12" s="8">
        <f>12+14</f>
        <v>26</v>
      </c>
      <c r="AE12" s="8">
        <v>21</v>
      </c>
      <c r="AF12" s="8">
        <v>0</v>
      </c>
      <c r="AG12" s="8">
        <v>10</v>
      </c>
      <c r="AH12" s="8">
        <v>10</v>
      </c>
      <c r="AI12" s="8">
        <f>14+17</f>
        <v>31</v>
      </c>
      <c r="AJ12" s="8">
        <v>5</v>
      </c>
      <c r="AK12" s="8">
        <f>2530+2360</f>
        <v>4890</v>
      </c>
      <c r="AL12" s="8">
        <v>3</v>
      </c>
      <c r="AM12" s="8">
        <v>19</v>
      </c>
      <c r="AN12" s="8">
        <f>17+18</f>
        <v>35</v>
      </c>
      <c r="AO12" s="8">
        <f>19+23</f>
        <v>42</v>
      </c>
      <c r="AP12" s="8">
        <v>5</v>
      </c>
      <c r="AQ12" s="8">
        <v>5</v>
      </c>
      <c r="AR12" s="8">
        <v>18</v>
      </c>
      <c r="AS12" s="8">
        <f t="shared" si="4"/>
        <v>127</v>
      </c>
      <c r="AT12" s="8">
        <f>14+9</f>
        <v>23</v>
      </c>
      <c r="AU12" s="8">
        <f>11+13</f>
        <v>24</v>
      </c>
      <c r="AV12" s="8">
        <f>23+24</f>
        <v>47</v>
      </c>
      <c r="AW12" s="8">
        <v>5</v>
      </c>
      <c r="AX12" s="8">
        <v>21</v>
      </c>
    </row>
    <row r="13" spans="1:50" x14ac:dyDescent="0.35">
      <c r="A13" s="23" t="s">
        <v>167</v>
      </c>
      <c r="B13" s="16">
        <v>131887</v>
      </c>
      <c r="C13" s="34">
        <f>203+387</f>
        <v>590</v>
      </c>
      <c r="D13" s="34">
        <f>64+154</f>
        <v>218</v>
      </c>
      <c r="E13" s="35">
        <f>49+118</f>
        <v>167</v>
      </c>
      <c r="F13" s="35">
        <v>11</v>
      </c>
      <c r="G13" s="35">
        <v>14</v>
      </c>
      <c r="H13" s="35">
        <v>0</v>
      </c>
      <c r="I13" s="35">
        <v>0</v>
      </c>
      <c r="J13" s="35">
        <v>21</v>
      </c>
      <c r="K13" s="35">
        <v>5</v>
      </c>
      <c r="L13" s="35">
        <f t="shared" si="1"/>
        <v>218</v>
      </c>
      <c r="M13" s="35">
        <f>55+137</f>
        <v>192</v>
      </c>
      <c r="N13" s="35">
        <f>17+9</f>
        <v>26</v>
      </c>
      <c r="O13" s="35">
        <v>0</v>
      </c>
      <c r="P13" s="35">
        <f t="shared" si="2"/>
        <v>218</v>
      </c>
      <c r="Q13" s="35">
        <v>17</v>
      </c>
      <c r="R13" s="35">
        <v>34</v>
      </c>
      <c r="S13" s="35">
        <v>33</v>
      </c>
      <c r="T13" s="35">
        <f>13+45</f>
        <v>58</v>
      </c>
      <c r="U13" s="35">
        <f>11+31</f>
        <v>42</v>
      </c>
      <c r="V13" s="35">
        <v>6</v>
      </c>
      <c r="W13" s="35">
        <v>28</v>
      </c>
      <c r="X13" s="35">
        <f t="shared" si="3"/>
        <v>218</v>
      </c>
      <c r="Y13" s="35">
        <f>23+185</f>
        <v>208</v>
      </c>
      <c r="Z13" s="35">
        <f>64+247</f>
        <v>311</v>
      </c>
      <c r="AA13" s="35">
        <v>9</v>
      </c>
      <c r="AB13" s="35">
        <f>19+9</f>
        <v>28</v>
      </c>
      <c r="AC13" s="35">
        <f>171+422</f>
        <v>593</v>
      </c>
      <c r="AD13" s="35">
        <f>20+28</f>
        <v>48</v>
      </c>
      <c r="AE13" s="35">
        <f>8+86</f>
        <v>94</v>
      </c>
      <c r="AF13" s="35">
        <v>0</v>
      </c>
      <c r="AG13" s="35">
        <v>17</v>
      </c>
      <c r="AH13" s="35">
        <v>5</v>
      </c>
      <c r="AI13" s="35">
        <v>6</v>
      </c>
      <c r="AJ13" s="35">
        <v>4</v>
      </c>
      <c r="AK13" s="35">
        <f>1280+1862</f>
        <v>3142</v>
      </c>
      <c r="AL13" s="35">
        <f>31+74</f>
        <v>105</v>
      </c>
      <c r="AM13" s="35">
        <v>0</v>
      </c>
      <c r="AN13" s="35">
        <v>19</v>
      </c>
      <c r="AO13" s="35">
        <v>0</v>
      </c>
      <c r="AP13" s="35">
        <f>30+63</f>
        <v>93</v>
      </c>
      <c r="AQ13" s="35">
        <v>0</v>
      </c>
      <c r="AR13" s="35">
        <v>1</v>
      </c>
      <c r="AS13" s="35">
        <f t="shared" si="4"/>
        <v>218</v>
      </c>
      <c r="AT13" s="35">
        <v>48</v>
      </c>
      <c r="AU13" s="35">
        <f>15+33</f>
        <v>48</v>
      </c>
      <c r="AV13" s="35">
        <v>27</v>
      </c>
      <c r="AW13" s="35">
        <v>25</v>
      </c>
      <c r="AX13" s="35">
        <f>32+38</f>
        <v>70</v>
      </c>
    </row>
    <row r="14" spans="1:50" x14ac:dyDescent="0.35">
      <c r="A14" s="23" t="s">
        <v>195</v>
      </c>
      <c r="B14" s="17">
        <v>259317</v>
      </c>
      <c r="C14" s="33">
        <v>1099</v>
      </c>
      <c r="D14" s="33">
        <v>327</v>
      </c>
      <c r="E14" s="8">
        <v>203</v>
      </c>
      <c r="F14" s="8">
        <v>23</v>
      </c>
      <c r="G14" s="8">
        <v>23</v>
      </c>
      <c r="H14" s="8">
        <v>4</v>
      </c>
      <c r="I14" s="8">
        <v>2</v>
      </c>
      <c r="J14" s="8">
        <v>63</v>
      </c>
      <c r="K14" s="8">
        <v>9</v>
      </c>
      <c r="L14" s="8">
        <f t="shared" si="1"/>
        <v>327</v>
      </c>
      <c r="M14" s="8">
        <v>240</v>
      </c>
      <c r="N14" s="8">
        <v>41</v>
      </c>
      <c r="O14" s="8">
        <v>46</v>
      </c>
      <c r="P14" s="8">
        <f t="shared" si="2"/>
        <v>327</v>
      </c>
      <c r="Q14" s="8">
        <v>0</v>
      </c>
      <c r="R14" s="8">
        <v>38</v>
      </c>
      <c r="S14" s="8">
        <v>57</v>
      </c>
      <c r="T14" s="8">
        <v>132</v>
      </c>
      <c r="U14" s="8">
        <v>48</v>
      </c>
      <c r="V14" s="8">
        <v>18</v>
      </c>
      <c r="W14" s="8">
        <v>34</v>
      </c>
      <c r="X14" s="8">
        <f t="shared" si="3"/>
        <v>327</v>
      </c>
      <c r="Y14" s="8">
        <v>542</v>
      </c>
      <c r="Z14" s="8">
        <v>504</v>
      </c>
      <c r="AA14" s="8">
        <v>231</v>
      </c>
      <c r="AB14" s="8">
        <v>32</v>
      </c>
      <c r="AC14" s="8">
        <v>902</v>
      </c>
      <c r="AD14" s="8">
        <v>68</v>
      </c>
      <c r="AE14" s="8">
        <v>151</v>
      </c>
      <c r="AF14" s="8">
        <v>18</v>
      </c>
      <c r="AG14" s="8">
        <v>89</v>
      </c>
      <c r="AH14" s="8">
        <v>0</v>
      </c>
      <c r="AI14" s="8">
        <v>151</v>
      </c>
      <c r="AJ14" s="8">
        <v>32</v>
      </c>
      <c r="AK14" s="8">
        <v>8314</v>
      </c>
      <c r="AL14" s="8">
        <v>188</v>
      </c>
      <c r="AM14" s="8">
        <v>1</v>
      </c>
      <c r="AN14" s="8">
        <v>61</v>
      </c>
      <c r="AO14" s="8">
        <v>4</v>
      </c>
      <c r="AP14" s="8">
        <v>13</v>
      </c>
      <c r="AQ14" s="8">
        <v>4</v>
      </c>
      <c r="AR14" s="8">
        <v>56</v>
      </c>
      <c r="AS14" s="8">
        <f t="shared" si="4"/>
        <v>327</v>
      </c>
      <c r="AT14" s="8">
        <v>52</v>
      </c>
      <c r="AU14" s="8">
        <v>93</v>
      </c>
      <c r="AV14" s="8">
        <v>40</v>
      </c>
      <c r="AW14" s="8">
        <v>28</v>
      </c>
      <c r="AX14" s="8">
        <v>114</v>
      </c>
    </row>
    <row r="15" spans="1:50" x14ac:dyDescent="0.35">
      <c r="A15" s="23" t="s">
        <v>60</v>
      </c>
      <c r="B15" s="16">
        <v>90776</v>
      </c>
      <c r="C15" s="34">
        <f>61+47</f>
        <v>108</v>
      </c>
      <c r="D15" s="34">
        <f>40+28</f>
        <v>68</v>
      </c>
      <c r="E15" s="35">
        <f>37+24</f>
        <v>61</v>
      </c>
      <c r="F15" s="35">
        <v>4</v>
      </c>
      <c r="G15" s="35">
        <v>0</v>
      </c>
      <c r="H15" s="35">
        <v>0</v>
      </c>
      <c r="I15" s="35">
        <v>1</v>
      </c>
      <c r="J15" s="35">
        <v>0</v>
      </c>
      <c r="K15" s="35">
        <v>2</v>
      </c>
      <c r="L15" s="35">
        <f t="shared" si="1"/>
        <v>68</v>
      </c>
      <c r="M15" s="35">
        <v>68</v>
      </c>
      <c r="N15" s="35">
        <v>0</v>
      </c>
      <c r="O15" s="35">
        <v>0</v>
      </c>
      <c r="P15" s="35">
        <f t="shared" si="2"/>
        <v>68</v>
      </c>
      <c r="Q15" s="35">
        <v>0</v>
      </c>
      <c r="R15" s="35">
        <v>1</v>
      </c>
      <c r="S15" s="35">
        <v>9</v>
      </c>
      <c r="T15" s="35">
        <v>36</v>
      </c>
      <c r="U15" s="35">
        <v>22</v>
      </c>
      <c r="V15" s="35">
        <v>0</v>
      </c>
      <c r="W15" s="35">
        <v>0</v>
      </c>
      <c r="X15" s="35">
        <f t="shared" si="3"/>
        <v>68</v>
      </c>
      <c r="Y15" s="35">
        <f>41+49</f>
        <v>90</v>
      </c>
      <c r="Z15" s="35">
        <f>37+58</f>
        <v>95</v>
      </c>
      <c r="AA15" s="35">
        <f>61+36</f>
        <v>97</v>
      </c>
      <c r="AB15" s="35">
        <v>3</v>
      </c>
      <c r="AC15" s="35">
        <v>1</v>
      </c>
      <c r="AD15" s="35">
        <v>0</v>
      </c>
      <c r="AE15" s="35">
        <v>0</v>
      </c>
      <c r="AF15" s="35">
        <v>2</v>
      </c>
      <c r="AG15" s="35">
        <v>23</v>
      </c>
      <c r="AH15" s="35">
        <v>0</v>
      </c>
      <c r="AI15" s="35">
        <v>2</v>
      </c>
      <c r="AJ15" s="35">
        <v>0</v>
      </c>
      <c r="AK15" s="35">
        <f>169+127</f>
        <v>296</v>
      </c>
      <c r="AL15" s="35">
        <v>18</v>
      </c>
      <c r="AM15" s="35">
        <v>12</v>
      </c>
      <c r="AN15" s="35">
        <v>22</v>
      </c>
      <c r="AO15" s="35">
        <v>1</v>
      </c>
      <c r="AP15" s="35">
        <v>2</v>
      </c>
      <c r="AQ15" s="35">
        <v>0</v>
      </c>
      <c r="AR15" s="35">
        <v>13</v>
      </c>
      <c r="AS15" s="35">
        <f t="shared" si="4"/>
        <v>68</v>
      </c>
      <c r="AT15" s="35">
        <v>30</v>
      </c>
      <c r="AU15" s="35">
        <v>19</v>
      </c>
      <c r="AV15" s="35">
        <v>19</v>
      </c>
      <c r="AW15" s="35">
        <v>0</v>
      </c>
      <c r="AX15" s="35">
        <v>0</v>
      </c>
    </row>
    <row r="16" spans="1:50" x14ac:dyDescent="0.35">
      <c r="A16" s="23" t="s">
        <v>61</v>
      </c>
      <c r="B16" s="17">
        <v>205204</v>
      </c>
      <c r="C16" s="33">
        <f>24+22</f>
        <v>46</v>
      </c>
      <c r="D16" s="33">
        <f>36+26</f>
        <v>62</v>
      </c>
      <c r="E16" s="8">
        <v>20</v>
      </c>
      <c r="F16" s="8">
        <v>27</v>
      </c>
      <c r="G16" s="8">
        <v>10</v>
      </c>
      <c r="H16" s="8">
        <v>1</v>
      </c>
      <c r="I16" s="8">
        <v>0</v>
      </c>
      <c r="J16" s="8">
        <v>0</v>
      </c>
      <c r="K16" s="8">
        <v>4</v>
      </c>
      <c r="L16" s="8">
        <f t="shared" si="1"/>
        <v>62</v>
      </c>
      <c r="M16" s="8">
        <f>28+23</f>
        <v>51</v>
      </c>
      <c r="N16" s="8">
        <v>11</v>
      </c>
      <c r="O16" s="8">
        <v>0</v>
      </c>
      <c r="P16" s="8">
        <f t="shared" si="2"/>
        <v>62</v>
      </c>
      <c r="Q16" s="8">
        <v>4</v>
      </c>
      <c r="R16" s="8">
        <v>7</v>
      </c>
      <c r="S16" s="8">
        <v>14</v>
      </c>
      <c r="T16" s="8">
        <v>29</v>
      </c>
      <c r="U16" s="8">
        <v>2</v>
      </c>
      <c r="V16" s="8">
        <v>0</v>
      </c>
      <c r="W16" s="8">
        <v>6</v>
      </c>
      <c r="X16" s="8">
        <f t="shared" si="3"/>
        <v>62</v>
      </c>
      <c r="Y16" s="8">
        <f>32+42</f>
        <v>74</v>
      </c>
      <c r="Z16" s="8">
        <f>41+41</f>
        <v>82</v>
      </c>
      <c r="AA16" s="8">
        <v>49</v>
      </c>
      <c r="AB16" s="8">
        <v>5</v>
      </c>
      <c r="AC16" s="8">
        <f>55+28</f>
        <v>83</v>
      </c>
      <c r="AD16" s="8">
        <v>26</v>
      </c>
      <c r="AE16" s="8">
        <v>14</v>
      </c>
      <c r="AF16" s="8">
        <v>2</v>
      </c>
      <c r="AG16" s="8">
        <v>16</v>
      </c>
      <c r="AH16" s="8">
        <v>0</v>
      </c>
      <c r="AI16" s="8">
        <v>4</v>
      </c>
      <c r="AJ16" s="8">
        <v>0</v>
      </c>
      <c r="AK16" s="8">
        <v>0</v>
      </c>
      <c r="AL16" s="8">
        <v>26</v>
      </c>
      <c r="AM16" s="8">
        <v>2</v>
      </c>
      <c r="AN16" s="8">
        <v>5</v>
      </c>
      <c r="AO16" s="8">
        <v>4</v>
      </c>
      <c r="AP16" s="8">
        <v>0</v>
      </c>
      <c r="AQ16" s="8">
        <v>0</v>
      </c>
      <c r="AR16" s="8">
        <f>17+8</f>
        <v>25</v>
      </c>
      <c r="AS16" s="8">
        <f t="shared" si="4"/>
        <v>62</v>
      </c>
      <c r="AT16" s="8">
        <v>13</v>
      </c>
      <c r="AU16" s="8">
        <v>12</v>
      </c>
      <c r="AV16" s="8">
        <v>3</v>
      </c>
      <c r="AW16" s="8">
        <v>6</v>
      </c>
      <c r="AX16" s="8">
        <v>28</v>
      </c>
    </row>
    <row r="17" spans="1:50" x14ac:dyDescent="0.35">
      <c r="A17" s="23" t="s">
        <v>62</v>
      </c>
      <c r="B17" s="18">
        <v>83230</v>
      </c>
      <c r="C17" s="34">
        <f>11+13</f>
        <v>24</v>
      </c>
      <c r="D17" s="34">
        <v>18</v>
      </c>
      <c r="E17" s="35">
        <v>16</v>
      </c>
      <c r="F17" s="35">
        <v>2</v>
      </c>
      <c r="G17" s="35">
        <v>0</v>
      </c>
      <c r="H17" s="35">
        <v>0</v>
      </c>
      <c r="I17" s="35">
        <v>0</v>
      </c>
      <c r="J17" s="35">
        <v>0</v>
      </c>
      <c r="K17" s="35">
        <v>0</v>
      </c>
      <c r="L17" s="35">
        <f t="shared" si="1"/>
        <v>18</v>
      </c>
      <c r="M17" s="35">
        <v>16</v>
      </c>
      <c r="N17" s="35">
        <v>2</v>
      </c>
      <c r="O17" s="35">
        <v>0</v>
      </c>
      <c r="P17" s="35">
        <f t="shared" si="2"/>
        <v>18</v>
      </c>
      <c r="Q17" s="35">
        <v>0</v>
      </c>
      <c r="R17" s="35">
        <v>0</v>
      </c>
      <c r="S17" s="35">
        <v>11</v>
      </c>
      <c r="T17" s="35">
        <v>6</v>
      </c>
      <c r="U17" s="35">
        <v>1</v>
      </c>
      <c r="V17" s="35">
        <v>0</v>
      </c>
      <c r="W17" s="35">
        <v>0</v>
      </c>
      <c r="X17" s="35">
        <f t="shared" si="3"/>
        <v>18</v>
      </c>
      <c r="Y17" s="35">
        <f>26+13</f>
        <v>39</v>
      </c>
      <c r="Z17" s="35">
        <f>19+13</f>
        <v>32</v>
      </c>
      <c r="AA17" s="35">
        <f>14+9</f>
        <v>23</v>
      </c>
      <c r="AB17" s="35">
        <v>6</v>
      </c>
      <c r="AC17" s="35">
        <v>20</v>
      </c>
      <c r="AD17" s="35">
        <v>7</v>
      </c>
      <c r="AE17" s="35">
        <v>7</v>
      </c>
      <c r="AF17" s="35">
        <v>3</v>
      </c>
      <c r="AG17" s="35">
        <v>12</v>
      </c>
      <c r="AH17" s="35">
        <v>0</v>
      </c>
      <c r="AI17" s="35">
        <f>9+27</f>
        <v>36</v>
      </c>
      <c r="AJ17" s="35">
        <v>0</v>
      </c>
      <c r="AK17" s="35">
        <v>0</v>
      </c>
      <c r="AL17" s="35">
        <v>4</v>
      </c>
      <c r="AM17" s="35">
        <v>2</v>
      </c>
      <c r="AN17" s="35">
        <v>4</v>
      </c>
      <c r="AO17" s="35">
        <v>5</v>
      </c>
      <c r="AP17" s="35">
        <v>1</v>
      </c>
      <c r="AQ17" s="35">
        <v>1</v>
      </c>
      <c r="AR17" s="35">
        <v>1</v>
      </c>
      <c r="AS17" s="35">
        <f t="shared" si="4"/>
        <v>18</v>
      </c>
      <c r="AT17" s="35">
        <v>5</v>
      </c>
      <c r="AU17" s="35">
        <v>9</v>
      </c>
      <c r="AV17" s="35">
        <v>2</v>
      </c>
      <c r="AW17" s="35">
        <v>2</v>
      </c>
      <c r="AX17" s="35">
        <v>0</v>
      </c>
    </row>
    <row r="18" spans="1:50" x14ac:dyDescent="0.35">
      <c r="A18" s="23" t="s">
        <v>63</v>
      </c>
      <c r="B18" s="17">
        <v>10358</v>
      </c>
      <c r="C18" s="33">
        <v>4</v>
      </c>
      <c r="D18" s="33">
        <v>10</v>
      </c>
      <c r="E18" s="8">
        <v>10</v>
      </c>
      <c r="F18" s="8">
        <v>0</v>
      </c>
      <c r="G18" s="8">
        <v>0</v>
      </c>
      <c r="H18" s="8">
        <v>0</v>
      </c>
      <c r="I18" s="8">
        <v>0</v>
      </c>
      <c r="J18" s="8">
        <v>0</v>
      </c>
      <c r="K18" s="8">
        <v>0</v>
      </c>
      <c r="L18" s="8">
        <f t="shared" si="1"/>
        <v>10</v>
      </c>
      <c r="M18" s="8">
        <v>10</v>
      </c>
      <c r="N18" s="8">
        <v>0</v>
      </c>
      <c r="O18" s="8">
        <v>0</v>
      </c>
      <c r="P18" s="8">
        <f t="shared" si="2"/>
        <v>10</v>
      </c>
      <c r="Q18" s="8">
        <v>0</v>
      </c>
      <c r="R18" s="8">
        <v>0</v>
      </c>
      <c r="S18" s="8">
        <v>1</v>
      </c>
      <c r="T18" s="8">
        <v>7</v>
      </c>
      <c r="U18" s="8">
        <v>2</v>
      </c>
      <c r="V18" s="8">
        <v>0</v>
      </c>
      <c r="W18" s="8">
        <v>0</v>
      </c>
      <c r="X18" s="8">
        <f t="shared" si="3"/>
        <v>10</v>
      </c>
      <c r="Y18" s="8">
        <v>20</v>
      </c>
      <c r="Z18" s="8">
        <v>3</v>
      </c>
      <c r="AA18" s="8">
        <v>8</v>
      </c>
      <c r="AB18" s="8">
        <v>0</v>
      </c>
      <c r="AC18" s="8">
        <v>22</v>
      </c>
      <c r="AD18" s="8">
        <v>0</v>
      </c>
      <c r="AE18" s="8">
        <v>0</v>
      </c>
      <c r="AF18" s="8">
        <v>0</v>
      </c>
      <c r="AG18" s="8">
        <v>27</v>
      </c>
      <c r="AH18" s="8">
        <v>29</v>
      </c>
      <c r="AI18" s="8">
        <v>3</v>
      </c>
      <c r="AJ18" s="8">
        <v>13</v>
      </c>
      <c r="AK18" s="8">
        <f>17+32</f>
        <v>49</v>
      </c>
      <c r="AL18" s="8">
        <v>3</v>
      </c>
      <c r="AM18" s="8">
        <v>0</v>
      </c>
      <c r="AN18" s="8">
        <v>2</v>
      </c>
      <c r="AO18" s="8">
        <v>2</v>
      </c>
      <c r="AP18" s="8">
        <v>0</v>
      </c>
      <c r="AQ18" s="8">
        <v>0</v>
      </c>
      <c r="AR18" s="8">
        <v>3</v>
      </c>
      <c r="AS18" s="8">
        <f t="shared" si="4"/>
        <v>10</v>
      </c>
      <c r="AT18" s="8">
        <v>5</v>
      </c>
      <c r="AU18" s="8">
        <v>3</v>
      </c>
      <c r="AV18" s="8">
        <v>1</v>
      </c>
      <c r="AW18" s="8">
        <v>2</v>
      </c>
      <c r="AX18" s="8">
        <v>0</v>
      </c>
    </row>
    <row r="19" spans="1:50" x14ac:dyDescent="0.35">
      <c r="A19" s="23" t="s">
        <v>64</v>
      </c>
      <c r="B19" s="18">
        <v>70216</v>
      </c>
      <c r="C19" s="34">
        <v>43</v>
      </c>
      <c r="D19" s="34">
        <f>249+236</f>
        <v>485</v>
      </c>
      <c r="E19" s="35">
        <f>220+198</f>
        <v>418</v>
      </c>
      <c r="F19" s="35">
        <v>22</v>
      </c>
      <c r="G19" s="35">
        <f>19+26</f>
        <v>45</v>
      </c>
      <c r="H19" s="35">
        <v>0</v>
      </c>
      <c r="I19" s="35">
        <v>0</v>
      </c>
      <c r="J19" s="35">
        <v>0</v>
      </c>
      <c r="K19" s="35">
        <v>0</v>
      </c>
      <c r="L19" s="35">
        <f t="shared" si="1"/>
        <v>485</v>
      </c>
      <c r="M19" s="35">
        <f>202+213</f>
        <v>415</v>
      </c>
      <c r="N19" s="35">
        <f>47+23</f>
        <v>70</v>
      </c>
      <c r="O19" s="35">
        <v>0</v>
      </c>
      <c r="P19" s="35">
        <f t="shared" si="2"/>
        <v>485</v>
      </c>
      <c r="Q19" s="35">
        <f>15+39</f>
        <v>54</v>
      </c>
      <c r="R19" s="35">
        <f>46+38</f>
        <v>84</v>
      </c>
      <c r="S19" s="35">
        <f>66+77</f>
        <v>143</v>
      </c>
      <c r="T19" s="35">
        <f>33+37</f>
        <v>70</v>
      </c>
      <c r="U19" s="35">
        <f>74+32</f>
        <v>106</v>
      </c>
      <c r="V19" s="35">
        <v>28</v>
      </c>
      <c r="W19" s="35">
        <v>0</v>
      </c>
      <c r="X19" s="35">
        <f t="shared" si="3"/>
        <v>485</v>
      </c>
      <c r="Y19" s="35">
        <f>493+1187</f>
        <v>1680</v>
      </c>
      <c r="Z19" s="35">
        <f>152+307</f>
        <v>459</v>
      </c>
      <c r="AA19" s="35">
        <f>22+25</f>
        <v>47</v>
      </c>
      <c r="AB19" s="35">
        <f>28+72</f>
        <v>100</v>
      </c>
      <c r="AC19" s="35">
        <f>458+678</f>
        <v>1136</v>
      </c>
      <c r="AD19" s="35">
        <v>4</v>
      </c>
      <c r="AE19" s="35">
        <v>21</v>
      </c>
      <c r="AF19" s="35">
        <v>0</v>
      </c>
      <c r="AG19" s="35">
        <v>31</v>
      </c>
      <c r="AH19" s="35">
        <v>25</v>
      </c>
      <c r="AI19" s="35">
        <v>58</v>
      </c>
      <c r="AJ19" s="35">
        <v>13</v>
      </c>
      <c r="AK19" s="35">
        <f>805+384</f>
        <v>1189</v>
      </c>
      <c r="AL19" s="35">
        <f>32+99</f>
        <v>131</v>
      </c>
      <c r="AM19" s="35">
        <f>8+18</f>
        <v>26</v>
      </c>
      <c r="AN19" s="35">
        <f>41+35</f>
        <v>76</v>
      </c>
      <c r="AO19" s="35">
        <f>18+16</f>
        <v>34</v>
      </c>
      <c r="AP19" s="35">
        <v>76</v>
      </c>
      <c r="AQ19" s="35">
        <f>73+42</f>
        <v>115</v>
      </c>
      <c r="AR19" s="35">
        <v>27</v>
      </c>
      <c r="AS19" s="35">
        <f t="shared" si="4"/>
        <v>485</v>
      </c>
      <c r="AT19" s="35">
        <f>138+128</f>
        <v>266</v>
      </c>
      <c r="AU19" s="35">
        <f>58+47</f>
        <v>105</v>
      </c>
      <c r="AV19" s="35">
        <f>31+23</f>
        <v>54</v>
      </c>
      <c r="AW19" s="35">
        <v>14</v>
      </c>
      <c r="AX19" s="35">
        <f>22+5</f>
        <v>27</v>
      </c>
    </row>
    <row r="20" spans="1:50" x14ac:dyDescent="0.35">
      <c r="A20" s="23" t="s">
        <v>65</v>
      </c>
      <c r="B20" s="17">
        <v>23255</v>
      </c>
      <c r="C20" s="33">
        <f>92+43</f>
        <v>135</v>
      </c>
      <c r="D20" s="33">
        <f>15+28</f>
        <v>43</v>
      </c>
      <c r="E20" s="8">
        <f>16+7</f>
        <v>23</v>
      </c>
      <c r="F20" s="8">
        <v>14</v>
      </c>
      <c r="G20" s="8">
        <v>1</v>
      </c>
      <c r="H20" s="8">
        <v>0</v>
      </c>
      <c r="I20" s="8">
        <v>0</v>
      </c>
      <c r="J20" s="8">
        <v>2</v>
      </c>
      <c r="K20" s="8">
        <v>3</v>
      </c>
      <c r="L20" s="8">
        <f t="shared" si="1"/>
        <v>43</v>
      </c>
      <c r="M20" s="8">
        <v>34</v>
      </c>
      <c r="N20" s="8">
        <v>9</v>
      </c>
      <c r="O20" s="8">
        <v>0</v>
      </c>
      <c r="P20" s="8">
        <f t="shared" si="2"/>
        <v>43</v>
      </c>
      <c r="Q20" s="8">
        <v>15</v>
      </c>
      <c r="R20" s="8">
        <v>16</v>
      </c>
      <c r="S20" s="8">
        <v>6</v>
      </c>
      <c r="T20" s="8">
        <v>6</v>
      </c>
      <c r="U20" s="8">
        <v>0</v>
      </c>
      <c r="V20" s="8">
        <v>0</v>
      </c>
      <c r="W20" s="8">
        <v>0</v>
      </c>
      <c r="X20" s="8">
        <f t="shared" si="3"/>
        <v>43</v>
      </c>
      <c r="Y20" s="8">
        <f>60+75</f>
        <v>135</v>
      </c>
      <c r="Z20" s="8">
        <f>55+84</f>
        <v>139</v>
      </c>
      <c r="AA20" s="8">
        <v>29</v>
      </c>
      <c r="AB20" s="8">
        <f>16+7</f>
        <v>23</v>
      </c>
      <c r="AC20" s="8">
        <v>47</v>
      </c>
      <c r="AD20" s="8">
        <v>2</v>
      </c>
      <c r="AE20" s="8">
        <v>26</v>
      </c>
      <c r="AF20" s="8">
        <v>0</v>
      </c>
      <c r="AG20" s="8">
        <v>8</v>
      </c>
      <c r="AH20" s="8">
        <v>0</v>
      </c>
      <c r="AI20" s="8">
        <v>13</v>
      </c>
      <c r="AJ20" s="8">
        <v>6</v>
      </c>
      <c r="AK20" s="8">
        <f>3614+3255</f>
        <v>6869</v>
      </c>
      <c r="AL20" s="8">
        <v>11</v>
      </c>
      <c r="AM20" s="8">
        <v>0</v>
      </c>
      <c r="AN20" s="8">
        <v>2</v>
      </c>
      <c r="AO20" s="8">
        <v>0</v>
      </c>
      <c r="AP20" s="8">
        <v>24</v>
      </c>
      <c r="AQ20" s="8">
        <v>0</v>
      </c>
      <c r="AR20" s="8">
        <v>6</v>
      </c>
      <c r="AS20" s="8">
        <f t="shared" si="4"/>
        <v>43</v>
      </c>
      <c r="AT20" s="8">
        <v>33</v>
      </c>
      <c r="AU20" s="8">
        <v>7</v>
      </c>
      <c r="AV20" s="8">
        <v>1</v>
      </c>
      <c r="AW20" s="8">
        <v>0</v>
      </c>
      <c r="AX20" s="8">
        <v>2</v>
      </c>
    </row>
    <row r="21" spans="1:50" x14ac:dyDescent="0.35">
      <c r="A21" s="23" t="s">
        <v>66</v>
      </c>
      <c r="B21" s="16">
        <v>157376</v>
      </c>
      <c r="C21" s="34">
        <f>58+322</f>
        <v>380</v>
      </c>
      <c r="D21" s="34">
        <f>31+113</f>
        <v>144</v>
      </c>
      <c r="E21" s="35">
        <f>15+92</f>
        <v>107</v>
      </c>
      <c r="F21" s="35">
        <v>8</v>
      </c>
      <c r="G21" s="35">
        <v>26</v>
      </c>
      <c r="H21" s="35">
        <v>0</v>
      </c>
      <c r="I21" s="35">
        <v>0</v>
      </c>
      <c r="J21" s="35">
        <v>0</v>
      </c>
      <c r="K21" s="35">
        <v>3</v>
      </c>
      <c r="L21" s="35">
        <f t="shared" si="1"/>
        <v>144</v>
      </c>
      <c r="M21" s="35">
        <f>31+108</f>
        <v>139</v>
      </c>
      <c r="N21" s="35">
        <v>5</v>
      </c>
      <c r="O21" s="35">
        <v>0</v>
      </c>
      <c r="P21" s="35">
        <f t="shared" si="2"/>
        <v>144</v>
      </c>
      <c r="Q21" s="35">
        <v>2</v>
      </c>
      <c r="R21" s="35">
        <v>2</v>
      </c>
      <c r="S21" s="35">
        <v>11</v>
      </c>
      <c r="T21" s="35">
        <f>15+24</f>
        <v>39</v>
      </c>
      <c r="U21" s="35">
        <f>7+46</f>
        <v>53</v>
      </c>
      <c r="V21" s="35">
        <v>31</v>
      </c>
      <c r="W21" s="35">
        <v>6</v>
      </c>
      <c r="X21" s="35">
        <f t="shared" si="3"/>
        <v>144</v>
      </c>
      <c r="Y21" s="35">
        <f>61+138</f>
        <v>199</v>
      </c>
      <c r="Z21" s="35">
        <f>19+42</f>
        <v>61</v>
      </c>
      <c r="AA21" s="35">
        <f>42+63</f>
        <v>105</v>
      </c>
      <c r="AB21" s="35">
        <v>0</v>
      </c>
      <c r="AC21" s="35">
        <v>154</v>
      </c>
      <c r="AD21" s="35">
        <v>9</v>
      </c>
      <c r="AE21" s="35">
        <f>19+28</f>
        <v>47</v>
      </c>
      <c r="AF21" s="35">
        <v>0</v>
      </c>
      <c r="AG21" s="35">
        <v>2</v>
      </c>
      <c r="AH21" s="35">
        <v>0</v>
      </c>
      <c r="AI21" s="35">
        <v>34</v>
      </c>
      <c r="AJ21" s="35">
        <v>3</v>
      </c>
      <c r="AK21" s="35">
        <f>114+379</f>
        <v>493</v>
      </c>
      <c r="AL21" s="35">
        <f>19+31</f>
        <v>50</v>
      </c>
      <c r="AM21" s="35">
        <v>28</v>
      </c>
      <c r="AN21" s="35">
        <v>34</v>
      </c>
      <c r="AO21" s="35">
        <v>27</v>
      </c>
      <c r="AP21" s="35">
        <v>3</v>
      </c>
      <c r="AQ21" s="35">
        <v>2</v>
      </c>
      <c r="AR21" s="35">
        <v>0</v>
      </c>
      <c r="AS21" s="35">
        <f t="shared" si="4"/>
        <v>144</v>
      </c>
      <c r="AT21" s="35">
        <v>12</v>
      </c>
      <c r="AU21" s="35">
        <v>29</v>
      </c>
      <c r="AV21" s="35">
        <v>15</v>
      </c>
      <c r="AW21" s="35">
        <v>7</v>
      </c>
      <c r="AX21" s="35">
        <v>29</v>
      </c>
    </row>
    <row r="22" spans="1:50" x14ac:dyDescent="0.35">
      <c r="A22" s="23" t="s">
        <v>150</v>
      </c>
      <c r="B22" s="16">
        <v>72736</v>
      </c>
      <c r="C22" s="34"/>
      <c r="D22" s="34"/>
      <c r="E22" s="35"/>
      <c r="F22" s="35"/>
      <c r="G22" s="35"/>
      <c r="H22" s="35"/>
      <c r="I22" s="35"/>
      <c r="J22" s="35"/>
      <c r="K22" s="35"/>
      <c r="L22" s="35">
        <f t="shared" si="1"/>
        <v>0</v>
      </c>
      <c r="M22" s="35"/>
      <c r="N22" s="35"/>
      <c r="O22" s="35"/>
      <c r="P22" s="35">
        <f t="shared" si="2"/>
        <v>0</v>
      </c>
      <c r="Q22" s="35"/>
      <c r="R22" s="35"/>
      <c r="S22" s="35"/>
      <c r="T22" s="35"/>
      <c r="U22" s="35"/>
      <c r="V22" s="35"/>
      <c r="W22" s="35"/>
      <c r="X22" s="35">
        <f t="shared" si="3"/>
        <v>0</v>
      </c>
      <c r="Y22" s="35"/>
      <c r="Z22" s="35"/>
      <c r="AA22" s="35"/>
      <c r="AB22" s="35"/>
      <c r="AC22" s="35"/>
      <c r="AD22" s="35"/>
      <c r="AE22" s="35"/>
      <c r="AF22" s="35"/>
      <c r="AG22" s="35"/>
      <c r="AH22" s="35"/>
      <c r="AI22" s="35"/>
      <c r="AJ22" s="35"/>
      <c r="AK22" s="35"/>
      <c r="AL22" s="35"/>
      <c r="AM22" s="35"/>
      <c r="AN22" s="35"/>
      <c r="AO22" s="35"/>
      <c r="AP22" s="35"/>
      <c r="AQ22" s="35"/>
      <c r="AR22" s="35"/>
      <c r="AS22" s="35">
        <f t="shared" si="4"/>
        <v>0</v>
      </c>
      <c r="AT22" s="35"/>
      <c r="AU22" s="35"/>
      <c r="AV22" s="35"/>
      <c r="AW22" s="35"/>
      <c r="AX22" s="35"/>
    </row>
    <row r="23" spans="1:50" x14ac:dyDescent="0.35">
      <c r="A23" s="23" t="s">
        <v>67</v>
      </c>
      <c r="B23" s="17">
        <v>28941</v>
      </c>
      <c r="C23" s="33">
        <f>2387+1696</f>
        <v>4083</v>
      </c>
      <c r="D23" s="33">
        <v>9</v>
      </c>
      <c r="E23" s="8">
        <v>6</v>
      </c>
      <c r="F23" s="8">
        <v>0</v>
      </c>
      <c r="G23" s="8">
        <v>2</v>
      </c>
      <c r="H23" s="8">
        <v>1</v>
      </c>
      <c r="I23" s="8">
        <v>0</v>
      </c>
      <c r="J23" s="8">
        <v>0</v>
      </c>
      <c r="K23" s="8">
        <v>0</v>
      </c>
      <c r="L23" s="8">
        <f t="shared" si="1"/>
        <v>9</v>
      </c>
      <c r="M23" s="8">
        <v>9</v>
      </c>
      <c r="N23" s="8">
        <v>0</v>
      </c>
      <c r="O23" s="8">
        <v>0</v>
      </c>
      <c r="P23" s="8">
        <f t="shared" si="2"/>
        <v>9</v>
      </c>
      <c r="Q23" s="8">
        <v>1</v>
      </c>
      <c r="R23" s="8">
        <v>0</v>
      </c>
      <c r="S23" s="8">
        <v>0</v>
      </c>
      <c r="T23" s="8">
        <v>4</v>
      </c>
      <c r="U23" s="8">
        <v>4</v>
      </c>
      <c r="V23" s="8">
        <v>0</v>
      </c>
      <c r="W23" s="8">
        <v>0</v>
      </c>
      <c r="X23" s="8">
        <f t="shared" si="3"/>
        <v>9</v>
      </c>
      <c r="Y23" s="8">
        <f>2496+5503</f>
        <v>7999</v>
      </c>
      <c r="Z23" s="8">
        <f>1452+1742</f>
        <v>3194</v>
      </c>
      <c r="AA23" s="8">
        <f>318+844</f>
        <v>1162</v>
      </c>
      <c r="AB23" s="8">
        <f>142+147</f>
        <v>289</v>
      </c>
      <c r="AC23" s="8">
        <f>678+1440</f>
        <v>2118</v>
      </c>
      <c r="AD23" s="8">
        <f>31+34</f>
        <v>65</v>
      </c>
      <c r="AE23" s="8">
        <f>155+292</f>
        <v>447</v>
      </c>
      <c r="AF23" s="8">
        <v>14</v>
      </c>
      <c r="AG23" s="8">
        <v>23</v>
      </c>
      <c r="AH23" s="8">
        <v>39</v>
      </c>
      <c r="AI23" s="8">
        <f>55+103</f>
        <v>158</v>
      </c>
      <c r="AJ23" s="8">
        <f>151+141</f>
        <v>292</v>
      </c>
      <c r="AK23" s="8">
        <f>1385+1118</f>
        <v>2503</v>
      </c>
      <c r="AL23" s="8">
        <v>2</v>
      </c>
      <c r="AM23" s="8">
        <v>0</v>
      </c>
      <c r="AN23" s="8">
        <v>4</v>
      </c>
      <c r="AO23" s="8">
        <v>2</v>
      </c>
      <c r="AP23" s="8">
        <v>1</v>
      </c>
      <c r="AQ23" s="8">
        <v>0</v>
      </c>
      <c r="AR23" s="8">
        <v>0</v>
      </c>
      <c r="AS23" s="8">
        <f t="shared" si="4"/>
        <v>9</v>
      </c>
      <c r="AT23" s="8">
        <v>2</v>
      </c>
      <c r="AU23" s="8">
        <v>1</v>
      </c>
      <c r="AV23" s="8">
        <v>1</v>
      </c>
      <c r="AW23" s="8">
        <v>0</v>
      </c>
      <c r="AX23" s="8">
        <v>5</v>
      </c>
    </row>
    <row r="24" spans="1:50" x14ac:dyDescent="0.35">
      <c r="A24" s="23" t="s">
        <v>194</v>
      </c>
      <c r="B24" s="16">
        <v>14243</v>
      </c>
      <c r="C24" s="34">
        <v>1</v>
      </c>
      <c r="D24" s="34">
        <v>2</v>
      </c>
      <c r="E24" s="35">
        <v>2</v>
      </c>
      <c r="F24" s="35">
        <v>0</v>
      </c>
      <c r="G24" s="35">
        <v>0</v>
      </c>
      <c r="H24" s="35">
        <v>0</v>
      </c>
      <c r="I24" s="35">
        <v>0</v>
      </c>
      <c r="J24" s="35">
        <v>0</v>
      </c>
      <c r="K24" s="35">
        <v>0</v>
      </c>
      <c r="L24" s="35">
        <f t="shared" si="1"/>
        <v>2</v>
      </c>
      <c r="M24" s="35">
        <v>2</v>
      </c>
      <c r="N24" s="35">
        <v>0</v>
      </c>
      <c r="O24" s="35">
        <v>0</v>
      </c>
      <c r="P24" s="35">
        <f t="shared" si="2"/>
        <v>2</v>
      </c>
      <c r="Q24" s="35">
        <v>0</v>
      </c>
      <c r="R24" s="35">
        <v>0</v>
      </c>
      <c r="S24" s="35">
        <v>0</v>
      </c>
      <c r="T24" s="35">
        <v>1</v>
      </c>
      <c r="U24" s="35">
        <v>1</v>
      </c>
      <c r="V24" s="35">
        <v>0</v>
      </c>
      <c r="W24" s="35">
        <v>0</v>
      </c>
      <c r="X24" s="35">
        <f t="shared" si="3"/>
        <v>2</v>
      </c>
      <c r="Y24" s="35">
        <v>15</v>
      </c>
      <c r="Z24" s="35">
        <v>6</v>
      </c>
      <c r="AA24" s="35">
        <v>13</v>
      </c>
      <c r="AB24" s="35">
        <v>0</v>
      </c>
      <c r="AC24" s="35">
        <v>14</v>
      </c>
      <c r="AD24" s="35">
        <v>0</v>
      </c>
      <c r="AE24" s="35">
        <v>1</v>
      </c>
      <c r="AF24" s="35">
        <v>0</v>
      </c>
      <c r="AG24" s="35">
        <v>0</v>
      </c>
      <c r="AH24" s="35">
        <v>0</v>
      </c>
      <c r="AI24" s="35">
        <v>4</v>
      </c>
      <c r="AJ24" s="35">
        <v>2</v>
      </c>
      <c r="AK24" s="35">
        <v>11</v>
      </c>
      <c r="AL24" s="35">
        <v>0</v>
      </c>
      <c r="AM24" s="35">
        <v>0</v>
      </c>
      <c r="AN24" s="35">
        <v>2</v>
      </c>
      <c r="AO24" s="35">
        <v>0</v>
      </c>
      <c r="AP24" s="35">
        <v>0</v>
      </c>
      <c r="AQ24" s="35">
        <v>0</v>
      </c>
      <c r="AR24" s="35">
        <v>0</v>
      </c>
      <c r="AS24" s="35">
        <f t="shared" si="4"/>
        <v>2</v>
      </c>
      <c r="AT24" s="35">
        <v>1</v>
      </c>
      <c r="AU24" s="35">
        <v>1</v>
      </c>
      <c r="AV24" s="35">
        <v>0</v>
      </c>
      <c r="AW24" s="35">
        <v>0</v>
      </c>
      <c r="AX24" s="35">
        <v>0</v>
      </c>
    </row>
    <row r="25" spans="1:50" x14ac:dyDescent="0.35">
      <c r="A25" s="23" t="s">
        <v>69</v>
      </c>
      <c r="B25" s="19">
        <v>11487</v>
      </c>
      <c r="C25" s="33">
        <v>28</v>
      </c>
      <c r="D25" s="33">
        <v>19</v>
      </c>
      <c r="E25" s="8">
        <v>17</v>
      </c>
      <c r="F25" s="8">
        <v>0</v>
      </c>
      <c r="G25" s="8">
        <v>2</v>
      </c>
      <c r="H25" s="8">
        <v>0</v>
      </c>
      <c r="I25" s="8">
        <v>0</v>
      </c>
      <c r="J25" s="8">
        <v>0</v>
      </c>
      <c r="K25" s="8">
        <v>0</v>
      </c>
      <c r="L25" s="8">
        <f t="shared" si="1"/>
        <v>19</v>
      </c>
      <c r="M25" s="8">
        <v>17</v>
      </c>
      <c r="N25" s="8">
        <v>2</v>
      </c>
      <c r="O25" s="8">
        <v>0</v>
      </c>
      <c r="P25" s="8">
        <f t="shared" si="2"/>
        <v>19</v>
      </c>
      <c r="Q25" s="8">
        <v>6</v>
      </c>
      <c r="R25" s="8">
        <v>2</v>
      </c>
      <c r="S25" s="8">
        <v>1</v>
      </c>
      <c r="T25" s="8">
        <v>7</v>
      </c>
      <c r="U25" s="8">
        <v>2</v>
      </c>
      <c r="V25" s="8">
        <v>0</v>
      </c>
      <c r="W25" s="8">
        <v>1</v>
      </c>
      <c r="X25" s="8">
        <f t="shared" si="3"/>
        <v>19</v>
      </c>
      <c r="Y25" s="8">
        <f>26+21</f>
        <v>47</v>
      </c>
      <c r="Z25" s="8">
        <f>31+23</f>
        <v>54</v>
      </c>
      <c r="AA25" s="8">
        <f>16+20</f>
        <v>36</v>
      </c>
      <c r="AB25" s="8">
        <v>0</v>
      </c>
      <c r="AC25" s="8">
        <f>15+14</f>
        <v>29</v>
      </c>
      <c r="AD25" s="8">
        <v>1</v>
      </c>
      <c r="AE25" s="8">
        <v>7</v>
      </c>
      <c r="AF25" s="8">
        <v>0</v>
      </c>
      <c r="AG25" s="8">
        <v>36</v>
      </c>
      <c r="AH25" s="8">
        <v>0</v>
      </c>
      <c r="AI25" s="8">
        <v>21</v>
      </c>
      <c r="AJ25" s="8">
        <v>1</v>
      </c>
      <c r="AK25" s="8">
        <f>385+339</f>
        <v>724</v>
      </c>
      <c r="AL25" s="8">
        <v>3</v>
      </c>
      <c r="AM25" s="8">
        <v>1</v>
      </c>
      <c r="AN25" s="8">
        <v>4</v>
      </c>
      <c r="AO25" s="8">
        <v>4</v>
      </c>
      <c r="AP25" s="8">
        <v>2</v>
      </c>
      <c r="AQ25" s="8">
        <v>5</v>
      </c>
      <c r="AR25" s="8">
        <v>0</v>
      </c>
      <c r="AS25" s="8">
        <f t="shared" si="4"/>
        <v>19</v>
      </c>
      <c r="AT25" s="8">
        <v>11</v>
      </c>
      <c r="AU25" s="8">
        <v>3</v>
      </c>
      <c r="AV25" s="8">
        <v>1</v>
      </c>
      <c r="AW25" s="8">
        <v>0</v>
      </c>
      <c r="AX25" s="8">
        <v>0</v>
      </c>
    </row>
    <row r="26" spans="1:50" x14ac:dyDescent="0.35">
      <c r="A26" s="23" t="s">
        <v>70</v>
      </c>
      <c r="B26" s="16">
        <v>98427</v>
      </c>
      <c r="C26" s="34">
        <f>49+52</f>
        <v>101</v>
      </c>
      <c r="D26" s="34">
        <f>55+49</f>
        <v>104</v>
      </c>
      <c r="E26" s="35">
        <f>34+35</f>
        <v>69</v>
      </c>
      <c r="F26" s="35">
        <f>13+10</f>
        <v>23</v>
      </c>
      <c r="G26" s="35">
        <v>6</v>
      </c>
      <c r="H26" s="35">
        <v>3</v>
      </c>
      <c r="I26" s="35">
        <v>0</v>
      </c>
      <c r="J26" s="35">
        <v>1</v>
      </c>
      <c r="K26" s="35">
        <v>2</v>
      </c>
      <c r="L26" s="35">
        <f t="shared" si="1"/>
        <v>104</v>
      </c>
      <c r="M26" s="35">
        <v>104</v>
      </c>
      <c r="N26" s="35">
        <v>0</v>
      </c>
      <c r="O26" s="35">
        <v>0</v>
      </c>
      <c r="P26" s="35">
        <f t="shared" si="2"/>
        <v>104</v>
      </c>
      <c r="Q26" s="35">
        <v>1</v>
      </c>
      <c r="R26" s="35">
        <v>2</v>
      </c>
      <c r="S26" s="35">
        <v>18</v>
      </c>
      <c r="T26" s="35">
        <v>43</v>
      </c>
      <c r="U26" s="35">
        <v>38</v>
      </c>
      <c r="V26" s="35">
        <v>2</v>
      </c>
      <c r="W26" s="35">
        <v>0</v>
      </c>
      <c r="X26" s="35">
        <f t="shared" si="3"/>
        <v>104</v>
      </c>
      <c r="Y26" s="35">
        <f>356+298</f>
        <v>654</v>
      </c>
      <c r="Z26" s="35">
        <f>30+39</f>
        <v>69</v>
      </c>
      <c r="AA26" s="35">
        <f>58+76</f>
        <v>134</v>
      </c>
      <c r="AB26" s="35">
        <v>61</v>
      </c>
      <c r="AC26" s="35">
        <f>27+43</f>
        <v>70</v>
      </c>
      <c r="AD26" s="35">
        <v>5</v>
      </c>
      <c r="AE26" s="35">
        <v>14</v>
      </c>
      <c r="AF26" s="35">
        <v>3</v>
      </c>
      <c r="AG26" s="35">
        <f>31+15</f>
        <v>46</v>
      </c>
      <c r="AH26" s="35">
        <v>0</v>
      </c>
      <c r="AI26" s="35">
        <v>6</v>
      </c>
      <c r="AJ26" s="35">
        <v>2</v>
      </c>
      <c r="AK26" s="35">
        <v>548</v>
      </c>
      <c r="AL26" s="35">
        <f>23+12</f>
        <v>35</v>
      </c>
      <c r="AM26" s="35">
        <v>12</v>
      </c>
      <c r="AN26" s="35">
        <f>8+17</f>
        <v>25</v>
      </c>
      <c r="AO26" s="35">
        <v>10</v>
      </c>
      <c r="AP26" s="35">
        <v>2</v>
      </c>
      <c r="AQ26" s="35">
        <v>1</v>
      </c>
      <c r="AR26" s="35">
        <v>19</v>
      </c>
      <c r="AS26" s="35">
        <f t="shared" si="4"/>
        <v>104</v>
      </c>
      <c r="AT26" s="35">
        <f>21+25</f>
        <v>46</v>
      </c>
      <c r="AU26" s="35">
        <v>13</v>
      </c>
      <c r="AV26" s="35">
        <v>41</v>
      </c>
      <c r="AW26" s="35">
        <v>12</v>
      </c>
      <c r="AX26" s="35">
        <v>7</v>
      </c>
    </row>
    <row r="27" spans="1:50" x14ac:dyDescent="0.35">
      <c r="A27" s="23" t="s">
        <v>71</v>
      </c>
      <c r="B27" s="17">
        <v>56649</v>
      </c>
      <c r="C27" s="33">
        <f>38+46</f>
        <v>84</v>
      </c>
      <c r="D27" s="33">
        <f>67+68</f>
        <v>135</v>
      </c>
      <c r="E27" s="8">
        <f>33+31</f>
        <v>64</v>
      </c>
      <c r="F27" s="8">
        <f>17+23</f>
        <v>40</v>
      </c>
      <c r="G27" s="8">
        <v>11</v>
      </c>
      <c r="H27" s="8">
        <v>0</v>
      </c>
      <c r="I27" s="8">
        <v>0</v>
      </c>
      <c r="J27" s="8">
        <v>8</v>
      </c>
      <c r="K27" s="8">
        <v>12</v>
      </c>
      <c r="L27" s="8">
        <f t="shared" si="1"/>
        <v>135</v>
      </c>
      <c r="M27" s="8">
        <f>62+64</f>
        <v>126</v>
      </c>
      <c r="N27" s="8">
        <v>9</v>
      </c>
      <c r="O27" s="8">
        <v>0</v>
      </c>
      <c r="P27" s="8">
        <f t="shared" si="2"/>
        <v>135</v>
      </c>
      <c r="Q27" s="8">
        <v>11</v>
      </c>
      <c r="R27" s="8">
        <v>11</v>
      </c>
      <c r="S27" s="8">
        <f>21+25</f>
        <v>46</v>
      </c>
      <c r="T27" s="8">
        <f>27+24</f>
        <v>51</v>
      </c>
      <c r="U27" s="8">
        <v>8</v>
      </c>
      <c r="V27" s="8">
        <v>1</v>
      </c>
      <c r="W27" s="8">
        <v>7</v>
      </c>
      <c r="X27" s="8">
        <f t="shared" si="3"/>
        <v>135</v>
      </c>
      <c r="Y27" s="8">
        <f>142+148</f>
        <v>290</v>
      </c>
      <c r="Z27" s="8">
        <f>162+168</f>
        <v>330</v>
      </c>
      <c r="AA27" s="8">
        <f>43+48</f>
        <v>91</v>
      </c>
      <c r="AB27" s="8">
        <f>18+22</f>
        <v>40</v>
      </c>
      <c r="AC27" s="8">
        <f>180+196</f>
        <v>376</v>
      </c>
      <c r="AD27" s="8">
        <f>32+34</f>
        <v>66</v>
      </c>
      <c r="AE27" s="8">
        <f>38+37</f>
        <v>75</v>
      </c>
      <c r="AF27" s="8">
        <v>0</v>
      </c>
      <c r="AG27" s="8">
        <v>12</v>
      </c>
      <c r="AH27" s="8">
        <v>12</v>
      </c>
      <c r="AI27" s="8">
        <v>29</v>
      </c>
      <c r="AJ27" s="8">
        <v>6</v>
      </c>
      <c r="AK27" s="8">
        <v>0</v>
      </c>
      <c r="AL27" s="8">
        <v>5</v>
      </c>
      <c r="AM27" s="8">
        <f>14+19</f>
        <v>33</v>
      </c>
      <c r="AN27" s="8">
        <f>16+14</f>
        <v>30</v>
      </c>
      <c r="AO27" s="8">
        <f>18+19</f>
        <v>37</v>
      </c>
      <c r="AP27" s="8">
        <v>7</v>
      </c>
      <c r="AQ27" s="8">
        <v>7</v>
      </c>
      <c r="AR27" s="8">
        <v>16</v>
      </c>
      <c r="AS27" s="8">
        <f t="shared" si="4"/>
        <v>135</v>
      </c>
      <c r="AT27" s="8">
        <f>15+14</f>
        <v>29</v>
      </c>
      <c r="AU27" s="8">
        <f>19+21</f>
        <v>40</v>
      </c>
      <c r="AV27" s="8">
        <f>15+19</f>
        <v>34</v>
      </c>
      <c r="AW27" s="8">
        <v>1</v>
      </c>
      <c r="AX27" s="8">
        <v>21</v>
      </c>
    </row>
    <row r="28" spans="1:50" x14ac:dyDescent="0.35">
      <c r="A28" s="23" t="s">
        <v>72</v>
      </c>
      <c r="B28" s="16">
        <v>103557</v>
      </c>
      <c r="C28" s="34">
        <f>336+174</f>
        <v>510</v>
      </c>
      <c r="D28" s="34">
        <f>190+322</f>
        <v>512</v>
      </c>
      <c r="E28" s="35">
        <f>87+164</f>
        <v>251</v>
      </c>
      <c r="F28" s="35">
        <f>70+81</f>
        <v>151</v>
      </c>
      <c r="G28" s="35">
        <f>22+46</f>
        <v>68</v>
      </c>
      <c r="H28" s="35">
        <v>1</v>
      </c>
      <c r="I28" s="35">
        <v>16</v>
      </c>
      <c r="J28" s="35">
        <v>2</v>
      </c>
      <c r="K28" s="35">
        <v>23</v>
      </c>
      <c r="L28" s="35">
        <f t="shared" si="1"/>
        <v>512</v>
      </c>
      <c r="M28" s="35">
        <f>117+194</f>
        <v>311</v>
      </c>
      <c r="N28" s="35">
        <f>73+128</f>
        <v>201</v>
      </c>
      <c r="O28" s="35">
        <v>0</v>
      </c>
      <c r="P28" s="35">
        <f t="shared" si="2"/>
        <v>512</v>
      </c>
      <c r="Q28" s="35">
        <f>39+62</f>
        <v>101</v>
      </c>
      <c r="R28" s="35">
        <v>66</v>
      </c>
      <c r="S28" s="35">
        <f>31+49</f>
        <v>80</v>
      </c>
      <c r="T28" s="35">
        <f>64+81</f>
        <v>145</v>
      </c>
      <c r="U28" s="35">
        <f>23+79</f>
        <v>102</v>
      </c>
      <c r="V28" s="35">
        <v>18</v>
      </c>
      <c r="W28" s="35">
        <v>0</v>
      </c>
      <c r="X28" s="35">
        <f t="shared" si="3"/>
        <v>512</v>
      </c>
      <c r="Y28" s="35">
        <f>339+167</f>
        <v>506</v>
      </c>
      <c r="Z28" s="35">
        <f>161+231</f>
        <v>392</v>
      </c>
      <c r="AA28" s="35">
        <f>199+172</f>
        <v>371</v>
      </c>
      <c r="AB28" s="35">
        <f>294+320</f>
        <v>614</v>
      </c>
      <c r="AC28" s="35">
        <f>628+4830</f>
        <v>5458</v>
      </c>
      <c r="AD28" s="35">
        <f>11+21</f>
        <v>32</v>
      </c>
      <c r="AE28" s="35">
        <f>8+49</f>
        <v>57</v>
      </c>
      <c r="AF28" s="35">
        <v>0</v>
      </c>
      <c r="AG28" s="35">
        <v>127</v>
      </c>
      <c r="AH28" s="35">
        <v>70</v>
      </c>
      <c r="AI28" s="35">
        <f>13+24</f>
        <v>37</v>
      </c>
      <c r="AJ28" s="35">
        <v>16</v>
      </c>
      <c r="AK28" s="35">
        <f>3580+2343</f>
        <v>5923</v>
      </c>
      <c r="AL28" s="35">
        <f>22+27</f>
        <v>49</v>
      </c>
      <c r="AM28" s="35">
        <f>21+11</f>
        <v>32</v>
      </c>
      <c r="AN28" s="35">
        <f>64+108</f>
        <v>172</v>
      </c>
      <c r="AO28" s="35">
        <v>13</v>
      </c>
      <c r="AP28" s="35">
        <f>43+88</f>
        <v>131</v>
      </c>
      <c r="AQ28" s="35">
        <f>12+34</f>
        <v>46</v>
      </c>
      <c r="AR28" s="35">
        <f>21+48</f>
        <v>69</v>
      </c>
      <c r="AS28" s="35">
        <f t="shared" si="4"/>
        <v>512</v>
      </c>
      <c r="AT28" s="35">
        <f>73+44</f>
        <v>117</v>
      </c>
      <c r="AU28" s="35">
        <f>45+178</f>
        <v>223</v>
      </c>
      <c r="AV28" s="35">
        <f>41+56</f>
        <v>97</v>
      </c>
      <c r="AW28" s="35">
        <f>22+29</f>
        <v>51</v>
      </c>
      <c r="AX28" s="35">
        <v>18</v>
      </c>
    </row>
    <row r="29" spans="1:50" x14ac:dyDescent="0.35">
      <c r="A29" s="45" t="s">
        <v>73</v>
      </c>
      <c r="B29" s="17">
        <v>329017</v>
      </c>
      <c r="C29" s="33">
        <f>577+321</f>
        <v>898</v>
      </c>
      <c r="D29" s="33">
        <f>245+222</f>
        <v>467</v>
      </c>
      <c r="E29" s="8">
        <f>73+67</f>
        <v>140</v>
      </c>
      <c r="F29" s="8">
        <f>78+59</f>
        <v>137</v>
      </c>
      <c r="G29" s="8">
        <v>19</v>
      </c>
      <c r="H29" s="8">
        <v>4</v>
      </c>
      <c r="I29" s="8">
        <v>1</v>
      </c>
      <c r="J29" s="8">
        <v>166</v>
      </c>
      <c r="K29" s="8">
        <v>0</v>
      </c>
      <c r="L29" s="8">
        <f t="shared" si="1"/>
        <v>467</v>
      </c>
      <c r="M29" s="8">
        <f>201+208</f>
        <v>409</v>
      </c>
      <c r="N29" s="8">
        <f>44+14</f>
        <v>58</v>
      </c>
      <c r="O29" s="8">
        <v>0</v>
      </c>
      <c r="P29" s="8">
        <f t="shared" si="2"/>
        <v>467</v>
      </c>
      <c r="Q29" s="8">
        <f>11+18</f>
        <v>29</v>
      </c>
      <c r="R29" s="8">
        <f>32+21</f>
        <v>53</v>
      </c>
      <c r="S29" s="8">
        <f>42+21</f>
        <v>63</v>
      </c>
      <c r="T29" s="8">
        <f>38+18</f>
        <v>56</v>
      </c>
      <c r="U29" s="8">
        <f>27+12</f>
        <v>39</v>
      </c>
      <c r="V29" s="8">
        <v>8</v>
      </c>
      <c r="W29" s="8">
        <f>91+128</f>
        <v>219</v>
      </c>
      <c r="X29" s="8">
        <f t="shared" si="3"/>
        <v>467</v>
      </c>
      <c r="Y29" s="8">
        <f>245+247</f>
        <v>492</v>
      </c>
      <c r="Z29" s="8">
        <f>245+385</f>
        <v>630</v>
      </c>
      <c r="AA29" s="8">
        <f>211+187</f>
        <v>398</v>
      </c>
      <c r="AB29" s="8">
        <v>11</v>
      </c>
      <c r="AC29" s="8">
        <f>37+14</f>
        <v>51</v>
      </c>
      <c r="AD29" s="8">
        <v>202</v>
      </c>
      <c r="AE29" s="8">
        <f>68+69</f>
        <v>137</v>
      </c>
      <c r="AF29" s="8">
        <v>0</v>
      </c>
      <c r="AG29" s="8">
        <v>8</v>
      </c>
      <c r="AH29" s="8">
        <v>0</v>
      </c>
      <c r="AI29" s="8">
        <v>41</v>
      </c>
      <c r="AJ29" s="8">
        <v>21</v>
      </c>
      <c r="AK29" s="8">
        <f>21480+16875</f>
        <v>38355</v>
      </c>
      <c r="AL29" s="8">
        <f>123+124</f>
        <v>247</v>
      </c>
      <c r="AM29" s="8">
        <v>0</v>
      </c>
      <c r="AN29" s="8">
        <v>41</v>
      </c>
      <c r="AO29" s="8">
        <v>0</v>
      </c>
      <c r="AP29" s="8">
        <f>54+37</f>
        <v>91</v>
      </c>
      <c r="AQ29" s="8">
        <v>3</v>
      </c>
      <c r="AR29" s="8">
        <v>85</v>
      </c>
      <c r="AS29" s="8">
        <f t="shared" si="4"/>
        <v>467</v>
      </c>
      <c r="AT29" s="8">
        <f>58+41</f>
        <v>99</v>
      </c>
      <c r="AU29" s="8">
        <f>135+54</f>
        <v>189</v>
      </c>
      <c r="AV29" s="8">
        <f>30+41</f>
        <v>71</v>
      </c>
      <c r="AW29" s="8">
        <f>19+9</f>
        <v>28</v>
      </c>
      <c r="AX29" s="8">
        <v>80</v>
      </c>
    </row>
    <row r="30" spans="1:50" x14ac:dyDescent="0.35">
      <c r="A30" s="23" t="s">
        <v>193</v>
      </c>
      <c r="B30" s="16">
        <v>26666</v>
      </c>
      <c r="C30" s="34">
        <v>5</v>
      </c>
      <c r="D30" s="34">
        <v>6</v>
      </c>
      <c r="E30" s="35">
        <v>4</v>
      </c>
      <c r="F30" s="35">
        <v>0</v>
      </c>
      <c r="G30" s="35">
        <v>1</v>
      </c>
      <c r="H30" s="35">
        <v>0</v>
      </c>
      <c r="I30" s="35">
        <v>0</v>
      </c>
      <c r="J30" s="35">
        <v>0</v>
      </c>
      <c r="K30" s="35">
        <v>1</v>
      </c>
      <c r="L30" s="35">
        <f t="shared" si="1"/>
        <v>6</v>
      </c>
      <c r="M30" s="35">
        <v>6</v>
      </c>
      <c r="N30" s="35">
        <v>0</v>
      </c>
      <c r="O30" s="35">
        <v>0</v>
      </c>
      <c r="P30" s="35">
        <f t="shared" si="2"/>
        <v>6</v>
      </c>
      <c r="Q30" s="35">
        <v>0</v>
      </c>
      <c r="R30" s="35">
        <v>0</v>
      </c>
      <c r="S30" s="35">
        <v>2</v>
      </c>
      <c r="T30" s="35">
        <v>3</v>
      </c>
      <c r="U30" s="35">
        <v>1</v>
      </c>
      <c r="V30" s="35">
        <v>0</v>
      </c>
      <c r="W30" s="35">
        <v>0</v>
      </c>
      <c r="X30" s="35">
        <f t="shared" si="3"/>
        <v>6</v>
      </c>
      <c r="Y30" s="35">
        <v>118</v>
      </c>
      <c r="Z30" s="35">
        <v>21</v>
      </c>
      <c r="AA30" s="35">
        <v>37</v>
      </c>
      <c r="AB30" s="35">
        <v>4</v>
      </c>
      <c r="AC30" s="35">
        <v>91</v>
      </c>
      <c r="AD30" s="35">
        <v>0</v>
      </c>
      <c r="AE30" s="35">
        <v>1</v>
      </c>
      <c r="AF30" s="35">
        <v>0</v>
      </c>
      <c r="AG30" s="35">
        <v>0</v>
      </c>
      <c r="AH30" s="35">
        <v>0</v>
      </c>
      <c r="AI30" s="35">
        <v>5</v>
      </c>
      <c r="AJ30" s="35">
        <v>0</v>
      </c>
      <c r="AK30" s="35">
        <v>32</v>
      </c>
      <c r="AL30" s="35">
        <v>3</v>
      </c>
      <c r="AM30" s="35">
        <v>0</v>
      </c>
      <c r="AN30" s="35">
        <v>1</v>
      </c>
      <c r="AO30" s="35">
        <v>0</v>
      </c>
      <c r="AP30" s="35">
        <v>0</v>
      </c>
      <c r="AQ30" s="35">
        <v>0</v>
      </c>
      <c r="AR30" s="35">
        <v>2</v>
      </c>
      <c r="AS30" s="35">
        <f t="shared" si="4"/>
        <v>6</v>
      </c>
      <c r="AT30" s="35">
        <v>2</v>
      </c>
      <c r="AU30" s="35">
        <v>5</v>
      </c>
      <c r="AV30" s="35">
        <v>0</v>
      </c>
      <c r="AW30" s="35">
        <v>1</v>
      </c>
      <c r="AX30" s="35">
        <v>0</v>
      </c>
    </row>
    <row r="31" spans="1:50" x14ac:dyDescent="0.35">
      <c r="A31" s="23" t="s">
        <v>75</v>
      </c>
      <c r="B31" s="17">
        <v>36722</v>
      </c>
      <c r="C31" s="33">
        <f>12+422</f>
        <v>434</v>
      </c>
      <c r="D31" s="33">
        <f>17+23</f>
        <v>40</v>
      </c>
      <c r="E31" s="8">
        <f>15+19</f>
        <v>34</v>
      </c>
      <c r="F31" s="8">
        <v>0</v>
      </c>
      <c r="G31" s="8">
        <v>6</v>
      </c>
      <c r="H31" s="8">
        <v>0</v>
      </c>
      <c r="I31" s="8">
        <v>0</v>
      </c>
      <c r="J31" s="8">
        <v>0</v>
      </c>
      <c r="K31" s="8">
        <v>0</v>
      </c>
      <c r="L31" s="8">
        <f t="shared" si="1"/>
        <v>40</v>
      </c>
      <c r="M31" s="8">
        <f>22+16</f>
        <v>38</v>
      </c>
      <c r="N31" s="8">
        <v>2</v>
      </c>
      <c r="O31" s="8">
        <v>0</v>
      </c>
      <c r="P31" s="8">
        <f t="shared" si="2"/>
        <v>40</v>
      </c>
      <c r="Q31" s="8">
        <v>6</v>
      </c>
      <c r="R31" s="8">
        <v>0</v>
      </c>
      <c r="S31" s="8">
        <v>8</v>
      </c>
      <c r="T31" s="8">
        <v>14</v>
      </c>
      <c r="U31" s="8">
        <v>12</v>
      </c>
      <c r="V31" s="8">
        <v>0</v>
      </c>
      <c r="W31" s="8">
        <v>0</v>
      </c>
      <c r="X31" s="8">
        <f t="shared" si="3"/>
        <v>40</v>
      </c>
      <c r="Y31" s="8">
        <f>21+19</f>
        <v>40</v>
      </c>
      <c r="Z31" s="8">
        <f>11+15</f>
        <v>26</v>
      </c>
      <c r="AA31" s="8">
        <f>13+6</f>
        <v>19</v>
      </c>
      <c r="AB31" s="8">
        <v>3</v>
      </c>
      <c r="AC31" s="8">
        <v>12</v>
      </c>
      <c r="AD31" s="8">
        <v>4</v>
      </c>
      <c r="AE31" s="8">
        <v>10</v>
      </c>
      <c r="AF31" s="8">
        <v>5</v>
      </c>
      <c r="AG31" s="8">
        <v>17</v>
      </c>
      <c r="AH31" s="8">
        <v>6</v>
      </c>
      <c r="AI31" s="8">
        <f>14+27</f>
        <v>41</v>
      </c>
      <c r="AJ31" s="8">
        <v>8</v>
      </c>
      <c r="AK31" s="8">
        <f>237+301</f>
        <v>538</v>
      </c>
      <c r="AL31" s="8">
        <v>12</v>
      </c>
      <c r="AM31" s="8">
        <v>3</v>
      </c>
      <c r="AN31" s="8">
        <v>5</v>
      </c>
      <c r="AO31" s="8">
        <v>4</v>
      </c>
      <c r="AP31" s="8">
        <v>6</v>
      </c>
      <c r="AQ31" s="8">
        <v>0</v>
      </c>
      <c r="AR31" s="8">
        <v>10</v>
      </c>
      <c r="AS31" s="8">
        <f t="shared" si="4"/>
        <v>40</v>
      </c>
      <c r="AT31" s="8">
        <v>10</v>
      </c>
      <c r="AU31" s="8">
        <v>9</v>
      </c>
      <c r="AV31" s="8">
        <v>5</v>
      </c>
      <c r="AW31" s="8">
        <v>0</v>
      </c>
      <c r="AX31" s="8">
        <v>9</v>
      </c>
    </row>
    <row r="32" spans="1:50" x14ac:dyDescent="0.35">
      <c r="A32" s="23" t="s">
        <v>76</v>
      </c>
      <c r="B32" s="16">
        <v>166716</v>
      </c>
      <c r="C32" s="34">
        <f>38+50</f>
        <v>88</v>
      </c>
      <c r="D32" s="34">
        <f>29+17</f>
        <v>46</v>
      </c>
      <c r="E32" s="35">
        <f>24+11</f>
        <v>35</v>
      </c>
      <c r="F32" s="35">
        <v>6</v>
      </c>
      <c r="G32" s="35">
        <v>1</v>
      </c>
      <c r="H32" s="35">
        <v>0</v>
      </c>
      <c r="I32" s="35">
        <v>2</v>
      </c>
      <c r="J32" s="35">
        <v>0</v>
      </c>
      <c r="K32" s="35">
        <v>2</v>
      </c>
      <c r="L32" s="35">
        <f t="shared" si="1"/>
        <v>46</v>
      </c>
      <c r="M32" s="35">
        <f>26+15</f>
        <v>41</v>
      </c>
      <c r="N32" s="35">
        <v>5</v>
      </c>
      <c r="O32" s="35">
        <v>0</v>
      </c>
      <c r="P32" s="35">
        <f t="shared" si="2"/>
        <v>46</v>
      </c>
      <c r="Q32" s="35">
        <v>7</v>
      </c>
      <c r="R32" s="35">
        <v>0</v>
      </c>
      <c r="S32" s="35">
        <v>12</v>
      </c>
      <c r="T32" s="35">
        <v>16</v>
      </c>
      <c r="U32" s="35">
        <v>8</v>
      </c>
      <c r="V32" s="35">
        <v>2</v>
      </c>
      <c r="W32" s="35">
        <v>1</v>
      </c>
      <c r="X32" s="35">
        <f t="shared" si="3"/>
        <v>46</v>
      </c>
      <c r="Y32" s="35">
        <f>36+41</f>
        <v>77</v>
      </c>
      <c r="Z32" s="35">
        <f>138+92</f>
        <v>230</v>
      </c>
      <c r="AA32" s="35">
        <v>10</v>
      </c>
      <c r="AB32" s="35">
        <v>2</v>
      </c>
      <c r="AC32" s="35">
        <f>35+46</f>
        <v>81</v>
      </c>
      <c r="AD32" s="35">
        <v>0</v>
      </c>
      <c r="AE32" s="35">
        <f>25+43</f>
        <v>68</v>
      </c>
      <c r="AF32" s="35">
        <v>7</v>
      </c>
      <c r="AG32" s="35">
        <v>28</v>
      </c>
      <c r="AH32" s="35">
        <v>0</v>
      </c>
      <c r="AI32" s="35">
        <v>8</v>
      </c>
      <c r="AJ32" s="35">
        <v>1</v>
      </c>
      <c r="AK32" s="35">
        <f>1154+949</f>
        <v>2103</v>
      </c>
      <c r="AL32" s="35">
        <v>5</v>
      </c>
      <c r="AM32" s="35">
        <v>0</v>
      </c>
      <c r="AN32" s="35">
        <v>1</v>
      </c>
      <c r="AO32" s="35">
        <v>1</v>
      </c>
      <c r="AP32" s="35">
        <v>6</v>
      </c>
      <c r="AQ32" s="35">
        <v>0</v>
      </c>
      <c r="AR32" s="35">
        <v>33</v>
      </c>
      <c r="AS32" s="35">
        <f t="shared" si="4"/>
        <v>46</v>
      </c>
      <c r="AT32" s="35">
        <v>9</v>
      </c>
      <c r="AU32" s="35">
        <v>7</v>
      </c>
      <c r="AV32" s="35">
        <v>4</v>
      </c>
      <c r="AW32" s="35">
        <v>0</v>
      </c>
      <c r="AX32" s="35">
        <v>31</v>
      </c>
    </row>
    <row r="33" spans="1:50" x14ac:dyDescent="0.35">
      <c r="A33" s="23" t="s">
        <v>168</v>
      </c>
      <c r="B33" s="17">
        <v>42686</v>
      </c>
      <c r="C33" s="33">
        <v>21</v>
      </c>
      <c r="D33" s="33">
        <v>7</v>
      </c>
      <c r="E33" s="8">
        <v>4</v>
      </c>
      <c r="F33" s="8">
        <v>0</v>
      </c>
      <c r="G33" s="8">
        <v>1</v>
      </c>
      <c r="H33" s="8">
        <v>0</v>
      </c>
      <c r="I33" s="8">
        <v>0</v>
      </c>
      <c r="J33" s="8">
        <v>2</v>
      </c>
      <c r="K33" s="8">
        <v>0</v>
      </c>
      <c r="L33" s="8">
        <f t="shared" si="1"/>
        <v>7</v>
      </c>
      <c r="M33" s="8">
        <v>6</v>
      </c>
      <c r="N33" s="8">
        <v>1</v>
      </c>
      <c r="O33" s="8">
        <v>0</v>
      </c>
      <c r="P33" s="8">
        <f t="shared" si="2"/>
        <v>7</v>
      </c>
      <c r="Q33" s="8">
        <v>0</v>
      </c>
      <c r="R33" s="8">
        <v>2</v>
      </c>
      <c r="S33" s="8">
        <v>0</v>
      </c>
      <c r="T33" s="8">
        <v>2</v>
      </c>
      <c r="U33" s="8">
        <v>0</v>
      </c>
      <c r="V33" s="8">
        <v>0</v>
      </c>
      <c r="W33" s="8">
        <v>3</v>
      </c>
      <c r="X33" s="8">
        <f t="shared" si="3"/>
        <v>7</v>
      </c>
      <c r="Y33" s="8">
        <v>27</v>
      </c>
      <c r="Z33" s="8">
        <v>12</v>
      </c>
      <c r="AA33" s="8">
        <v>12</v>
      </c>
      <c r="AB33" s="8">
        <v>0</v>
      </c>
      <c r="AC33" s="8">
        <v>5</v>
      </c>
      <c r="AD33" s="8">
        <v>0</v>
      </c>
      <c r="AE33" s="8">
        <v>8</v>
      </c>
      <c r="AF33" s="8">
        <v>0</v>
      </c>
      <c r="AG33" s="8">
        <v>15</v>
      </c>
      <c r="AH33" s="8">
        <v>1</v>
      </c>
      <c r="AI33" s="8">
        <f>26+17</f>
        <v>43</v>
      </c>
      <c r="AJ33" s="8">
        <v>2</v>
      </c>
      <c r="AK33" s="8">
        <f>1081+1134</f>
        <v>2215</v>
      </c>
      <c r="AL33" s="8">
        <v>3</v>
      </c>
      <c r="AM33" s="8">
        <v>1</v>
      </c>
      <c r="AN33" s="8">
        <v>1</v>
      </c>
      <c r="AO33" s="8">
        <v>0</v>
      </c>
      <c r="AP33" s="8">
        <v>1</v>
      </c>
      <c r="AQ33" s="8">
        <v>1</v>
      </c>
      <c r="AR33" s="8">
        <v>0</v>
      </c>
      <c r="AS33" s="8">
        <f t="shared" si="4"/>
        <v>7</v>
      </c>
      <c r="AT33" s="8">
        <v>3</v>
      </c>
      <c r="AU33" s="8">
        <v>2</v>
      </c>
      <c r="AV33" s="8">
        <v>2</v>
      </c>
      <c r="AW33" s="8">
        <v>0</v>
      </c>
      <c r="AX33" s="8">
        <v>0</v>
      </c>
    </row>
    <row r="34" spans="1:50" x14ac:dyDescent="0.35">
      <c r="A34" s="23" t="s">
        <v>169</v>
      </c>
      <c r="B34" s="16">
        <v>59747</v>
      </c>
      <c r="C34" s="34">
        <v>6</v>
      </c>
      <c r="D34" s="34">
        <v>2</v>
      </c>
      <c r="E34" s="35">
        <v>1</v>
      </c>
      <c r="F34" s="35">
        <v>1</v>
      </c>
      <c r="G34" s="35">
        <v>0</v>
      </c>
      <c r="H34" s="35">
        <v>0</v>
      </c>
      <c r="I34" s="35">
        <v>0</v>
      </c>
      <c r="J34" s="35">
        <v>0</v>
      </c>
      <c r="K34" s="35">
        <v>0</v>
      </c>
      <c r="L34" s="35">
        <f t="shared" si="1"/>
        <v>2</v>
      </c>
      <c r="M34" s="35">
        <v>2</v>
      </c>
      <c r="N34" s="35">
        <v>0</v>
      </c>
      <c r="O34" s="35">
        <v>0</v>
      </c>
      <c r="P34" s="35">
        <f t="shared" si="2"/>
        <v>2</v>
      </c>
      <c r="Q34" s="35">
        <v>0</v>
      </c>
      <c r="R34" s="35">
        <v>1</v>
      </c>
      <c r="S34" s="35">
        <v>0</v>
      </c>
      <c r="T34" s="35">
        <v>1</v>
      </c>
      <c r="U34" s="35">
        <v>0</v>
      </c>
      <c r="V34" s="35">
        <v>0</v>
      </c>
      <c r="W34" s="35">
        <v>0</v>
      </c>
      <c r="X34" s="35">
        <f t="shared" si="3"/>
        <v>2</v>
      </c>
      <c r="Y34" s="35">
        <v>3</v>
      </c>
      <c r="Z34" s="35">
        <v>3</v>
      </c>
      <c r="AA34" s="35">
        <v>0</v>
      </c>
      <c r="AB34" s="35">
        <v>1</v>
      </c>
      <c r="AC34" s="35">
        <v>0</v>
      </c>
      <c r="AD34" s="35">
        <v>2</v>
      </c>
      <c r="AE34" s="35">
        <v>0</v>
      </c>
      <c r="AF34" s="35">
        <v>0</v>
      </c>
      <c r="AG34" s="35">
        <v>0</v>
      </c>
      <c r="AH34" s="35">
        <v>0</v>
      </c>
      <c r="AI34" s="35">
        <v>0</v>
      </c>
      <c r="AJ34" s="35">
        <v>1</v>
      </c>
      <c r="AK34" s="35">
        <v>0</v>
      </c>
      <c r="AL34" s="35">
        <v>2</v>
      </c>
      <c r="AM34" s="35">
        <v>0</v>
      </c>
      <c r="AN34" s="35">
        <v>0</v>
      </c>
      <c r="AO34" s="35">
        <v>0</v>
      </c>
      <c r="AP34" s="35">
        <v>0</v>
      </c>
      <c r="AQ34" s="35">
        <v>0</v>
      </c>
      <c r="AR34" s="35">
        <v>0</v>
      </c>
      <c r="AS34" s="35">
        <f t="shared" si="4"/>
        <v>2</v>
      </c>
      <c r="AT34" s="35">
        <v>0</v>
      </c>
      <c r="AU34" s="35">
        <v>1</v>
      </c>
      <c r="AV34" s="35">
        <v>0</v>
      </c>
      <c r="AW34" s="35">
        <v>0</v>
      </c>
      <c r="AX34" s="35">
        <v>1</v>
      </c>
    </row>
    <row r="35" spans="1:50" x14ac:dyDescent="0.35">
      <c r="A35" s="23" t="s">
        <v>170</v>
      </c>
      <c r="B35" s="17">
        <v>307007</v>
      </c>
      <c r="C35" s="33">
        <f>199+125</f>
        <v>324</v>
      </c>
      <c r="D35" s="33">
        <f>75+204</f>
        <v>279</v>
      </c>
      <c r="E35" s="8">
        <f>20+64</f>
        <v>84</v>
      </c>
      <c r="F35" s="8">
        <f>14+31</f>
        <v>45</v>
      </c>
      <c r="G35" s="8">
        <f>15+39</f>
        <v>54</v>
      </c>
      <c r="H35" s="8">
        <v>1</v>
      </c>
      <c r="I35" s="8">
        <v>4</v>
      </c>
      <c r="J35" s="8">
        <f>15+68</f>
        <v>83</v>
      </c>
      <c r="K35" s="8">
        <v>8</v>
      </c>
      <c r="L35" s="8">
        <f t="shared" si="1"/>
        <v>279</v>
      </c>
      <c r="M35" s="8">
        <f>70+196</f>
        <v>266</v>
      </c>
      <c r="N35" s="8">
        <v>13</v>
      </c>
      <c r="O35" s="8">
        <v>0</v>
      </c>
      <c r="P35" s="8">
        <f t="shared" si="2"/>
        <v>279</v>
      </c>
      <c r="Q35" s="8">
        <v>0</v>
      </c>
      <c r="R35" s="8">
        <v>16</v>
      </c>
      <c r="S35" s="8">
        <f>12+33</f>
        <v>45</v>
      </c>
      <c r="T35" s="8">
        <v>50</v>
      </c>
      <c r="U35" s="8">
        <f>16+36</f>
        <v>52</v>
      </c>
      <c r="V35" s="8">
        <v>14</v>
      </c>
      <c r="W35" s="8">
        <f>30+72</f>
        <v>102</v>
      </c>
      <c r="X35" s="8">
        <f t="shared" si="3"/>
        <v>279</v>
      </c>
      <c r="Y35" s="8">
        <f>110+184</f>
        <v>294</v>
      </c>
      <c r="Z35" s="8">
        <f>32+25</f>
        <v>57</v>
      </c>
      <c r="AA35" s="8">
        <f>71+184</f>
        <v>255</v>
      </c>
      <c r="AB35" s="8">
        <v>12</v>
      </c>
      <c r="AC35" s="8">
        <v>84</v>
      </c>
      <c r="AD35" s="8">
        <v>84</v>
      </c>
      <c r="AE35" s="8">
        <f>26+31</f>
        <v>57</v>
      </c>
      <c r="AF35" s="8">
        <v>19</v>
      </c>
      <c r="AG35" s="8">
        <v>2</v>
      </c>
      <c r="AH35" s="8">
        <v>0</v>
      </c>
      <c r="AI35" s="8">
        <v>39</v>
      </c>
      <c r="AJ35" s="8">
        <v>21</v>
      </c>
      <c r="AK35" s="8">
        <f>8432+12177</f>
        <v>20609</v>
      </c>
      <c r="AL35" s="8">
        <v>59</v>
      </c>
      <c r="AM35" s="8">
        <v>4</v>
      </c>
      <c r="AN35" s="8">
        <v>31</v>
      </c>
      <c r="AO35" s="8">
        <v>2</v>
      </c>
      <c r="AP35" s="8">
        <v>32</v>
      </c>
      <c r="AQ35" s="8">
        <v>1</v>
      </c>
      <c r="AR35" s="8">
        <f>8+142</f>
        <v>150</v>
      </c>
      <c r="AS35" s="8">
        <f t="shared" si="4"/>
        <v>279</v>
      </c>
      <c r="AT35" s="8">
        <f>9+42</f>
        <v>51</v>
      </c>
      <c r="AU35" s="8">
        <f>42+47</f>
        <v>89</v>
      </c>
      <c r="AV35" s="8">
        <v>20</v>
      </c>
      <c r="AW35" s="8">
        <f>13+21</f>
        <v>34</v>
      </c>
      <c r="AX35" s="8">
        <f>11+75</f>
        <v>86</v>
      </c>
    </row>
    <row r="36" spans="1:50" x14ac:dyDescent="0.35">
      <c r="A36" s="23" t="s">
        <v>79</v>
      </c>
      <c r="B36" s="16">
        <v>53156</v>
      </c>
      <c r="C36" s="34">
        <f>6+17</f>
        <v>23</v>
      </c>
      <c r="D36" s="34">
        <v>32</v>
      </c>
      <c r="E36" s="35">
        <v>9</v>
      </c>
      <c r="F36" s="35">
        <v>10</v>
      </c>
      <c r="G36" s="35">
        <v>13</v>
      </c>
      <c r="H36" s="35">
        <v>0</v>
      </c>
      <c r="I36" s="35">
        <v>0</v>
      </c>
      <c r="J36" s="35">
        <v>0</v>
      </c>
      <c r="K36" s="35">
        <v>0</v>
      </c>
      <c r="L36" s="35">
        <f t="shared" si="1"/>
        <v>32</v>
      </c>
      <c r="M36" s="35">
        <v>30</v>
      </c>
      <c r="N36" s="35">
        <v>2</v>
      </c>
      <c r="O36" s="35">
        <v>0</v>
      </c>
      <c r="P36" s="35">
        <f t="shared" si="2"/>
        <v>32</v>
      </c>
      <c r="Q36" s="35">
        <v>2</v>
      </c>
      <c r="R36" s="35">
        <v>5</v>
      </c>
      <c r="S36" s="35">
        <v>7</v>
      </c>
      <c r="T36" s="35">
        <v>12</v>
      </c>
      <c r="U36" s="35">
        <v>6</v>
      </c>
      <c r="V36" s="35">
        <v>0</v>
      </c>
      <c r="W36" s="35">
        <v>0</v>
      </c>
      <c r="X36" s="35">
        <f t="shared" si="3"/>
        <v>32</v>
      </c>
      <c r="Y36" s="35">
        <f>14+96</f>
        <v>110</v>
      </c>
      <c r="Z36" s="35">
        <v>144</v>
      </c>
      <c r="AA36" s="35">
        <f>16+63</f>
        <v>79</v>
      </c>
      <c r="AB36" s="35">
        <v>20</v>
      </c>
      <c r="AC36" s="35">
        <v>16</v>
      </c>
      <c r="AD36" s="35">
        <v>0</v>
      </c>
      <c r="AE36" s="35">
        <v>14</v>
      </c>
      <c r="AF36" s="35">
        <v>0</v>
      </c>
      <c r="AG36" s="35">
        <v>40</v>
      </c>
      <c r="AH36" s="35">
        <v>13</v>
      </c>
      <c r="AI36" s="35">
        <f>19+29</f>
        <v>48</v>
      </c>
      <c r="AJ36" s="35">
        <v>9</v>
      </c>
      <c r="AK36" s="35">
        <f>2790+3428</f>
        <v>6218</v>
      </c>
      <c r="AL36" s="35">
        <v>12</v>
      </c>
      <c r="AM36" s="35">
        <v>0</v>
      </c>
      <c r="AN36" s="35">
        <v>4</v>
      </c>
      <c r="AO36" s="35">
        <v>0</v>
      </c>
      <c r="AP36" s="35">
        <v>1</v>
      </c>
      <c r="AQ36" s="35">
        <v>3</v>
      </c>
      <c r="AR36" s="35">
        <v>12</v>
      </c>
      <c r="AS36" s="35">
        <f t="shared" si="4"/>
        <v>32</v>
      </c>
      <c r="AT36" s="35">
        <v>15</v>
      </c>
      <c r="AU36" s="35">
        <v>6</v>
      </c>
      <c r="AV36" s="35">
        <v>5</v>
      </c>
      <c r="AW36" s="35">
        <v>4</v>
      </c>
      <c r="AX36" s="35">
        <v>2</v>
      </c>
    </row>
    <row r="37" spans="1:50" x14ac:dyDescent="0.35">
      <c r="A37" s="23" t="s">
        <v>171</v>
      </c>
      <c r="B37" s="17">
        <v>373625</v>
      </c>
      <c r="C37" s="33">
        <f>51+47</f>
        <v>98</v>
      </c>
      <c r="D37" s="33">
        <f>32+99</f>
        <v>131</v>
      </c>
      <c r="E37" s="8">
        <f>14+55</f>
        <v>69</v>
      </c>
      <c r="F37" s="8">
        <f>13+34</f>
        <v>47</v>
      </c>
      <c r="G37" s="8">
        <v>11</v>
      </c>
      <c r="H37" s="8">
        <v>0</v>
      </c>
      <c r="I37" s="8">
        <v>0</v>
      </c>
      <c r="J37" s="8">
        <v>0</v>
      </c>
      <c r="K37" s="8">
        <v>4</v>
      </c>
      <c r="L37" s="8">
        <f t="shared" si="1"/>
        <v>131</v>
      </c>
      <c r="M37" s="8">
        <f>26+66</f>
        <v>92</v>
      </c>
      <c r="N37" s="8">
        <v>39</v>
      </c>
      <c r="O37" s="8">
        <v>0</v>
      </c>
      <c r="P37" s="8">
        <f t="shared" si="2"/>
        <v>131</v>
      </c>
      <c r="Q37" s="8">
        <f>7+46</f>
        <v>53</v>
      </c>
      <c r="R37" s="8">
        <v>26</v>
      </c>
      <c r="S37" s="8">
        <v>12</v>
      </c>
      <c r="T37" s="8">
        <v>19</v>
      </c>
      <c r="U37" s="8">
        <v>21</v>
      </c>
      <c r="V37" s="8">
        <v>0</v>
      </c>
      <c r="W37" s="8">
        <v>0</v>
      </c>
      <c r="X37" s="8">
        <f t="shared" si="3"/>
        <v>131</v>
      </c>
      <c r="Y37" s="8">
        <f>54+145</f>
        <v>199</v>
      </c>
      <c r="Z37" s="8">
        <f>22+62</f>
        <v>84</v>
      </c>
      <c r="AA37" s="8">
        <f>33+72</f>
        <v>105</v>
      </c>
      <c r="AB37" s="8">
        <v>12</v>
      </c>
      <c r="AC37" s="8">
        <f>184+93</f>
        <v>277</v>
      </c>
      <c r="AD37" s="8">
        <v>0</v>
      </c>
      <c r="AE37" s="8">
        <v>12</v>
      </c>
      <c r="AF37" s="8">
        <v>0</v>
      </c>
      <c r="AG37" s="8">
        <v>14</v>
      </c>
      <c r="AH37" s="8">
        <v>0</v>
      </c>
      <c r="AI37" s="8">
        <v>9</v>
      </c>
      <c r="AJ37" s="8">
        <v>1</v>
      </c>
      <c r="AK37" s="8">
        <f>2598+4920</f>
        <v>7518</v>
      </c>
      <c r="AL37" s="8">
        <v>16</v>
      </c>
      <c r="AM37" s="8">
        <v>6</v>
      </c>
      <c r="AN37" s="8">
        <v>8</v>
      </c>
      <c r="AO37" s="8">
        <v>91</v>
      </c>
      <c r="AP37" s="8">
        <v>4</v>
      </c>
      <c r="AQ37" s="8">
        <v>6</v>
      </c>
      <c r="AR37" s="8">
        <v>0</v>
      </c>
      <c r="AS37" s="8">
        <f t="shared" si="4"/>
        <v>131</v>
      </c>
      <c r="AT37" s="8">
        <v>55</v>
      </c>
      <c r="AU37" s="8">
        <f>27+6</f>
        <v>33</v>
      </c>
      <c r="AV37" s="8">
        <v>20</v>
      </c>
      <c r="AW37" s="8">
        <v>6</v>
      </c>
      <c r="AX37" s="8">
        <v>17</v>
      </c>
    </row>
    <row r="38" spans="1:50" x14ac:dyDescent="0.35">
      <c r="A38" s="23" t="s">
        <v>82</v>
      </c>
      <c r="B38" s="17">
        <v>66643</v>
      </c>
      <c r="C38" s="34">
        <v>9</v>
      </c>
      <c r="D38" s="34">
        <v>15</v>
      </c>
      <c r="E38" s="35">
        <v>15</v>
      </c>
      <c r="F38" s="35">
        <v>0</v>
      </c>
      <c r="G38" s="35">
        <v>0</v>
      </c>
      <c r="H38" s="35">
        <v>0</v>
      </c>
      <c r="I38" s="35">
        <v>0</v>
      </c>
      <c r="J38" s="35">
        <v>0</v>
      </c>
      <c r="K38" s="35">
        <v>0</v>
      </c>
      <c r="L38" s="35">
        <f t="shared" si="1"/>
        <v>15</v>
      </c>
      <c r="M38" s="35">
        <v>15</v>
      </c>
      <c r="N38" s="35">
        <v>0</v>
      </c>
      <c r="O38" s="35">
        <v>0</v>
      </c>
      <c r="P38" s="35">
        <f t="shared" si="2"/>
        <v>15</v>
      </c>
      <c r="Q38" s="35">
        <v>2</v>
      </c>
      <c r="R38" s="35">
        <v>0</v>
      </c>
      <c r="S38" s="35">
        <v>0</v>
      </c>
      <c r="T38" s="35">
        <v>13</v>
      </c>
      <c r="U38" s="35">
        <v>0</v>
      </c>
      <c r="V38" s="35">
        <v>0</v>
      </c>
      <c r="W38" s="35">
        <v>0</v>
      </c>
      <c r="X38" s="35">
        <f t="shared" si="3"/>
        <v>15</v>
      </c>
      <c r="Y38" s="35">
        <v>24</v>
      </c>
      <c r="Z38" s="35">
        <v>75</v>
      </c>
      <c r="AA38" s="35">
        <v>0</v>
      </c>
      <c r="AB38" s="35">
        <v>0</v>
      </c>
      <c r="AC38" s="35">
        <v>0</v>
      </c>
      <c r="AD38" s="35">
        <v>1</v>
      </c>
      <c r="AE38" s="35">
        <f>16+38</f>
        <v>54</v>
      </c>
      <c r="AF38" s="35">
        <v>0</v>
      </c>
      <c r="AG38" s="35">
        <v>26</v>
      </c>
      <c r="AH38" s="35">
        <v>8</v>
      </c>
      <c r="AI38" s="35">
        <v>28</v>
      </c>
      <c r="AJ38" s="35">
        <v>3</v>
      </c>
      <c r="AK38" s="35">
        <f>40+104</f>
        <v>144</v>
      </c>
      <c r="AL38" s="35">
        <v>7</v>
      </c>
      <c r="AM38" s="35">
        <v>3</v>
      </c>
      <c r="AN38" s="35">
        <v>0</v>
      </c>
      <c r="AO38" s="35">
        <v>1</v>
      </c>
      <c r="AP38" s="35">
        <v>3</v>
      </c>
      <c r="AQ38" s="35">
        <v>1</v>
      </c>
      <c r="AR38" s="35">
        <v>0</v>
      </c>
      <c r="AS38" s="35">
        <f t="shared" si="4"/>
        <v>15</v>
      </c>
      <c r="AT38" s="35">
        <v>4</v>
      </c>
      <c r="AU38" s="35">
        <v>8</v>
      </c>
      <c r="AV38" s="35">
        <v>3</v>
      </c>
      <c r="AW38" s="35">
        <v>0</v>
      </c>
      <c r="AX38" s="35">
        <v>0</v>
      </c>
    </row>
    <row r="39" spans="1:50" x14ac:dyDescent="0.35">
      <c r="A39" s="23" t="s">
        <v>83</v>
      </c>
      <c r="B39" s="16">
        <v>218754</v>
      </c>
      <c r="C39" s="33">
        <v>133</v>
      </c>
      <c r="D39" s="33">
        <f>62+67</f>
        <v>129</v>
      </c>
      <c r="E39" s="8">
        <f>47+41</f>
        <v>88</v>
      </c>
      <c r="F39" s="8">
        <f>17+9</f>
        <v>26</v>
      </c>
      <c r="G39" s="8">
        <v>9</v>
      </c>
      <c r="H39" s="8">
        <v>0</v>
      </c>
      <c r="I39" s="8">
        <v>1</v>
      </c>
      <c r="J39" s="8">
        <v>3</v>
      </c>
      <c r="K39" s="8">
        <v>2</v>
      </c>
      <c r="L39" s="8">
        <f t="shared" si="1"/>
        <v>129</v>
      </c>
      <c r="M39" s="8">
        <f>54+64</f>
        <v>118</v>
      </c>
      <c r="N39" s="8">
        <v>11</v>
      </c>
      <c r="O39" s="8">
        <v>0</v>
      </c>
      <c r="P39" s="8">
        <f t="shared" si="2"/>
        <v>129</v>
      </c>
      <c r="Q39" s="8">
        <v>3</v>
      </c>
      <c r="R39" s="8">
        <v>12</v>
      </c>
      <c r="S39" s="8">
        <f>13+12</f>
        <v>25</v>
      </c>
      <c r="T39" s="8">
        <f>27+23</f>
        <v>50</v>
      </c>
      <c r="U39" s="8">
        <f>16+19</f>
        <v>35</v>
      </c>
      <c r="V39" s="8">
        <v>0</v>
      </c>
      <c r="W39" s="8">
        <v>4</v>
      </c>
      <c r="X39" s="8">
        <f t="shared" si="3"/>
        <v>129</v>
      </c>
      <c r="Y39" s="8">
        <f>62+67</f>
        <v>129</v>
      </c>
      <c r="Z39" s="8">
        <f>21+45</f>
        <v>66</v>
      </c>
      <c r="AA39" s="8">
        <v>77</v>
      </c>
      <c r="AB39" s="8">
        <f>17+5</f>
        <v>22</v>
      </c>
      <c r="AC39" s="8">
        <f>58+18</f>
        <v>76</v>
      </c>
      <c r="AD39" s="8">
        <v>8</v>
      </c>
      <c r="AE39" s="8">
        <v>37</v>
      </c>
      <c r="AF39" s="8">
        <v>0</v>
      </c>
      <c r="AG39" s="8">
        <v>1</v>
      </c>
      <c r="AH39" s="8">
        <v>0</v>
      </c>
      <c r="AI39" s="8">
        <v>7</v>
      </c>
      <c r="AJ39" s="8">
        <v>5</v>
      </c>
      <c r="AK39" s="8">
        <v>0</v>
      </c>
      <c r="AL39" s="8">
        <f>19+35</f>
        <v>54</v>
      </c>
      <c r="AM39" s="8">
        <v>7</v>
      </c>
      <c r="AN39" s="8">
        <v>36</v>
      </c>
      <c r="AO39" s="8">
        <v>13</v>
      </c>
      <c r="AP39" s="8">
        <v>1</v>
      </c>
      <c r="AQ39" s="8">
        <v>6</v>
      </c>
      <c r="AR39" s="8">
        <v>12</v>
      </c>
      <c r="AS39" s="8">
        <f t="shared" si="4"/>
        <v>129</v>
      </c>
      <c r="AT39" s="8">
        <f>31+5</f>
        <v>36</v>
      </c>
      <c r="AU39" s="8">
        <v>27</v>
      </c>
      <c r="AV39" s="8">
        <v>18</v>
      </c>
      <c r="AW39" s="8">
        <v>15</v>
      </c>
      <c r="AX39" s="8">
        <v>17</v>
      </c>
    </row>
    <row r="40" spans="1:50" x14ac:dyDescent="0.35">
      <c r="A40" s="23" t="s">
        <v>172</v>
      </c>
      <c r="B40" s="36">
        <v>12043</v>
      </c>
      <c r="C40" s="33">
        <v>4</v>
      </c>
      <c r="D40" s="33">
        <v>5</v>
      </c>
      <c r="E40" s="8">
        <v>1</v>
      </c>
      <c r="F40" s="8">
        <v>4</v>
      </c>
      <c r="G40" s="8">
        <v>0</v>
      </c>
      <c r="H40" s="8">
        <v>0</v>
      </c>
      <c r="I40" s="8">
        <v>0</v>
      </c>
      <c r="J40" s="8">
        <v>0</v>
      </c>
      <c r="K40" s="8">
        <v>0</v>
      </c>
      <c r="L40" s="8">
        <f t="shared" si="1"/>
        <v>5</v>
      </c>
      <c r="M40" s="8">
        <v>5</v>
      </c>
      <c r="N40" s="8">
        <v>0</v>
      </c>
      <c r="O40" s="8">
        <v>0</v>
      </c>
      <c r="P40" s="8">
        <f t="shared" si="2"/>
        <v>5</v>
      </c>
      <c r="Q40" s="8">
        <v>0</v>
      </c>
      <c r="R40" s="8">
        <v>0</v>
      </c>
      <c r="S40" s="8">
        <v>1</v>
      </c>
      <c r="T40" s="8">
        <v>1</v>
      </c>
      <c r="U40" s="8">
        <v>3</v>
      </c>
      <c r="V40" s="8">
        <v>0</v>
      </c>
      <c r="W40" s="8">
        <v>0</v>
      </c>
      <c r="X40" s="8">
        <f t="shared" si="3"/>
        <v>5</v>
      </c>
      <c r="Y40" s="8">
        <v>7</v>
      </c>
      <c r="Z40" s="8">
        <v>6</v>
      </c>
      <c r="AA40" s="8">
        <v>6</v>
      </c>
      <c r="AB40" s="8">
        <v>1</v>
      </c>
      <c r="AC40" s="8">
        <v>1</v>
      </c>
      <c r="AD40" s="8">
        <v>0</v>
      </c>
      <c r="AE40" s="8">
        <v>3</v>
      </c>
      <c r="AF40" s="8">
        <v>1</v>
      </c>
      <c r="AG40" s="8">
        <v>0</v>
      </c>
      <c r="AH40" s="8">
        <v>0</v>
      </c>
      <c r="AI40" s="8">
        <v>18</v>
      </c>
      <c r="AJ40" s="8">
        <v>4</v>
      </c>
      <c r="AK40" s="8">
        <f>1355+1355</f>
        <v>2710</v>
      </c>
      <c r="AL40" s="8">
        <v>2</v>
      </c>
      <c r="AM40" s="8">
        <v>0</v>
      </c>
      <c r="AN40" s="8">
        <v>0</v>
      </c>
      <c r="AO40" s="8">
        <v>0</v>
      </c>
      <c r="AP40" s="8">
        <v>0</v>
      </c>
      <c r="AQ40" s="8">
        <v>0</v>
      </c>
      <c r="AR40" s="8">
        <v>3</v>
      </c>
      <c r="AS40" s="8">
        <f t="shared" si="4"/>
        <v>5</v>
      </c>
      <c r="AT40" s="8">
        <v>0</v>
      </c>
      <c r="AU40" s="8">
        <v>2</v>
      </c>
      <c r="AV40" s="8">
        <v>3</v>
      </c>
      <c r="AW40" s="8">
        <v>0</v>
      </c>
      <c r="AX40" s="8">
        <v>0</v>
      </c>
    </row>
    <row r="41" spans="1:50" x14ac:dyDescent="0.35">
      <c r="A41" s="23" t="s">
        <v>173</v>
      </c>
      <c r="B41" s="17">
        <v>8763</v>
      </c>
      <c r="C41" s="34"/>
      <c r="D41" s="34"/>
      <c r="E41" s="35"/>
      <c r="F41" s="35"/>
      <c r="G41" s="35"/>
      <c r="H41" s="35"/>
      <c r="I41" s="35"/>
      <c r="J41" s="35"/>
      <c r="K41" s="35"/>
      <c r="L41" s="35">
        <f t="shared" si="1"/>
        <v>0</v>
      </c>
      <c r="M41" s="35"/>
      <c r="N41" s="35"/>
      <c r="O41" s="35"/>
      <c r="P41" s="35">
        <f t="shared" si="2"/>
        <v>0</v>
      </c>
      <c r="Q41" s="35"/>
      <c r="R41" s="35"/>
      <c r="S41" s="35"/>
      <c r="T41" s="35"/>
      <c r="U41" s="35"/>
      <c r="V41" s="35"/>
      <c r="W41" s="35"/>
      <c r="X41" s="35">
        <f t="shared" si="3"/>
        <v>0</v>
      </c>
      <c r="Y41" s="35"/>
      <c r="Z41" s="35"/>
      <c r="AA41" s="35"/>
      <c r="AB41" s="35"/>
      <c r="AC41" s="35"/>
      <c r="AD41" s="35"/>
      <c r="AE41" s="35"/>
      <c r="AF41" s="35"/>
      <c r="AG41" s="35"/>
      <c r="AH41" s="35"/>
      <c r="AI41" s="35"/>
      <c r="AJ41" s="35"/>
      <c r="AK41" s="35"/>
      <c r="AL41" s="35"/>
      <c r="AM41" s="35"/>
      <c r="AN41" s="35"/>
      <c r="AO41" s="35"/>
      <c r="AP41" s="35"/>
      <c r="AQ41" s="35"/>
      <c r="AR41" s="35"/>
      <c r="AS41" s="35">
        <f t="shared" si="4"/>
        <v>0</v>
      </c>
      <c r="AT41" s="35"/>
      <c r="AU41" s="35"/>
      <c r="AV41" s="35"/>
      <c r="AW41" s="35"/>
      <c r="AX41" s="35"/>
    </row>
    <row r="42" spans="1:50" x14ac:dyDescent="0.35">
      <c r="A42" s="23" t="s">
        <v>86</v>
      </c>
      <c r="B42" s="16">
        <v>60213</v>
      </c>
      <c r="C42" s="33">
        <v>28</v>
      </c>
      <c r="D42" s="33">
        <f>24+32</f>
        <v>56</v>
      </c>
      <c r="E42" s="8">
        <v>23</v>
      </c>
      <c r="F42" s="8">
        <v>15</v>
      </c>
      <c r="G42" s="8">
        <v>16</v>
      </c>
      <c r="H42" s="8">
        <v>0</v>
      </c>
      <c r="I42" s="8">
        <v>0</v>
      </c>
      <c r="J42" s="8">
        <v>0</v>
      </c>
      <c r="K42" s="8">
        <v>2</v>
      </c>
      <c r="L42" s="8">
        <f t="shared" si="1"/>
        <v>56</v>
      </c>
      <c r="M42" s="8">
        <f>19+32</f>
        <v>51</v>
      </c>
      <c r="N42" s="8">
        <v>3</v>
      </c>
      <c r="O42" s="8">
        <v>2</v>
      </c>
      <c r="P42" s="8">
        <f t="shared" si="2"/>
        <v>56</v>
      </c>
      <c r="Q42" s="8">
        <v>1</v>
      </c>
      <c r="R42" s="8">
        <v>12</v>
      </c>
      <c r="S42" s="8">
        <v>15</v>
      </c>
      <c r="T42" s="8">
        <v>15</v>
      </c>
      <c r="U42" s="8">
        <v>7</v>
      </c>
      <c r="V42" s="8">
        <v>1</v>
      </c>
      <c r="W42" s="8">
        <v>5</v>
      </c>
      <c r="X42" s="8">
        <f t="shared" si="3"/>
        <v>56</v>
      </c>
      <c r="Y42" s="8">
        <f>18+32</f>
        <v>50</v>
      </c>
      <c r="Z42" s="8">
        <f>24+68</f>
        <v>92</v>
      </c>
      <c r="AA42" s="8">
        <v>52</v>
      </c>
      <c r="AB42" s="8">
        <v>2</v>
      </c>
      <c r="AC42" s="8">
        <f>89+20</f>
        <v>109</v>
      </c>
      <c r="AD42" s="8">
        <v>0</v>
      </c>
      <c r="AE42" s="8">
        <v>11</v>
      </c>
      <c r="AF42" s="8">
        <v>0</v>
      </c>
      <c r="AG42" s="8">
        <v>32</v>
      </c>
      <c r="AH42" s="8">
        <v>5</v>
      </c>
      <c r="AI42" s="8">
        <v>11</v>
      </c>
      <c r="AJ42" s="8">
        <v>7</v>
      </c>
      <c r="AK42" s="8">
        <f>39+69</f>
        <v>108</v>
      </c>
      <c r="AL42" s="8">
        <v>1</v>
      </c>
      <c r="AM42" s="8">
        <v>13</v>
      </c>
      <c r="AN42" s="8">
        <v>0</v>
      </c>
      <c r="AO42" s="8">
        <v>8</v>
      </c>
      <c r="AP42" s="8">
        <v>2</v>
      </c>
      <c r="AQ42" s="8">
        <v>0</v>
      </c>
      <c r="AR42" s="8">
        <f>14+18</f>
        <v>32</v>
      </c>
      <c r="AS42" s="8">
        <f t="shared" si="4"/>
        <v>56</v>
      </c>
      <c r="AT42" s="8">
        <v>7</v>
      </c>
      <c r="AU42" s="8">
        <v>4</v>
      </c>
      <c r="AV42" s="8">
        <v>13</v>
      </c>
      <c r="AW42" s="8">
        <v>1</v>
      </c>
      <c r="AX42" s="8">
        <v>29</v>
      </c>
    </row>
    <row r="43" spans="1:50" x14ac:dyDescent="0.35">
      <c r="A43" s="23" t="s">
        <v>87</v>
      </c>
      <c r="B43" s="19">
        <v>21356</v>
      </c>
      <c r="C43" s="34">
        <v>22</v>
      </c>
      <c r="D43" s="34">
        <v>9</v>
      </c>
      <c r="E43" s="35">
        <v>8</v>
      </c>
      <c r="F43" s="35">
        <v>1</v>
      </c>
      <c r="G43" s="35">
        <v>0</v>
      </c>
      <c r="H43" s="35">
        <v>0</v>
      </c>
      <c r="I43" s="35">
        <v>0</v>
      </c>
      <c r="J43" s="35">
        <v>0</v>
      </c>
      <c r="K43" s="35">
        <v>0</v>
      </c>
      <c r="L43" s="35">
        <f t="shared" si="1"/>
        <v>9</v>
      </c>
      <c r="M43" s="35">
        <v>4</v>
      </c>
      <c r="N43" s="35">
        <v>5</v>
      </c>
      <c r="O43" s="35">
        <v>0</v>
      </c>
      <c r="P43" s="35">
        <f t="shared" si="2"/>
        <v>9</v>
      </c>
      <c r="Q43" s="35">
        <v>1</v>
      </c>
      <c r="R43" s="35">
        <v>0</v>
      </c>
      <c r="S43" s="35">
        <v>1</v>
      </c>
      <c r="T43" s="35">
        <v>2</v>
      </c>
      <c r="U43" s="35">
        <v>5</v>
      </c>
      <c r="V43" s="35">
        <v>0</v>
      </c>
      <c r="W43" s="35">
        <v>0</v>
      </c>
      <c r="X43" s="35">
        <f t="shared" si="3"/>
        <v>9</v>
      </c>
      <c r="Y43" s="35">
        <v>20</v>
      </c>
      <c r="Z43" s="35">
        <v>16</v>
      </c>
      <c r="AA43" s="35">
        <v>2</v>
      </c>
      <c r="AB43" s="35">
        <v>0</v>
      </c>
      <c r="AC43" s="35">
        <v>0</v>
      </c>
      <c r="AD43" s="35">
        <v>0</v>
      </c>
      <c r="AE43" s="35">
        <v>1</v>
      </c>
      <c r="AF43" s="35">
        <v>0</v>
      </c>
      <c r="AG43" s="35">
        <v>0</v>
      </c>
      <c r="AH43" s="35">
        <v>0</v>
      </c>
      <c r="AI43" s="35">
        <v>1</v>
      </c>
      <c r="AJ43" s="35">
        <v>2</v>
      </c>
      <c r="AK43" s="35">
        <v>425</v>
      </c>
      <c r="AL43" s="35">
        <v>1</v>
      </c>
      <c r="AM43" s="35">
        <v>0</v>
      </c>
      <c r="AN43" s="35">
        <v>2</v>
      </c>
      <c r="AO43" s="35">
        <v>1</v>
      </c>
      <c r="AP43" s="35">
        <v>1</v>
      </c>
      <c r="AQ43" s="35">
        <v>0</v>
      </c>
      <c r="AR43" s="35">
        <v>4</v>
      </c>
      <c r="AS43" s="35">
        <f t="shared" si="4"/>
        <v>9</v>
      </c>
      <c r="AT43" s="35">
        <v>3</v>
      </c>
      <c r="AU43" s="35">
        <v>5</v>
      </c>
      <c r="AV43" s="35">
        <v>1</v>
      </c>
      <c r="AW43" s="35">
        <v>0</v>
      </c>
      <c r="AX43" s="35">
        <v>0</v>
      </c>
    </row>
    <row r="44" spans="1:50" x14ac:dyDescent="0.35">
      <c r="A44" s="23" t="s">
        <v>174</v>
      </c>
      <c r="B44" s="16">
        <v>527922</v>
      </c>
      <c r="C44" s="33">
        <v>63</v>
      </c>
      <c r="D44" s="33">
        <f>104+183</f>
        <v>287</v>
      </c>
      <c r="E44" s="8">
        <f>21+72</f>
        <v>93</v>
      </c>
      <c r="F44" s="8">
        <f>64+68</f>
        <v>132</v>
      </c>
      <c r="G44" s="8">
        <f>17+11</f>
        <v>28</v>
      </c>
      <c r="H44" s="8">
        <v>1</v>
      </c>
      <c r="I44" s="8">
        <v>5</v>
      </c>
      <c r="J44" s="8">
        <v>3</v>
      </c>
      <c r="K44" s="8">
        <f>7+18</f>
        <v>25</v>
      </c>
      <c r="L44" s="8">
        <f t="shared" si="1"/>
        <v>287</v>
      </c>
      <c r="M44" s="8">
        <f>65+138</f>
        <v>203</v>
      </c>
      <c r="N44" s="8">
        <f>39+45</f>
        <v>84</v>
      </c>
      <c r="O44" s="8">
        <v>0</v>
      </c>
      <c r="P44" s="8">
        <f t="shared" si="2"/>
        <v>287</v>
      </c>
      <c r="Q44" s="8">
        <f>79+43</f>
        <v>122</v>
      </c>
      <c r="R44" s="8">
        <f>23+80</f>
        <v>103</v>
      </c>
      <c r="S44" s="8">
        <v>23</v>
      </c>
      <c r="T44" s="8">
        <v>22</v>
      </c>
      <c r="U44" s="8">
        <v>13</v>
      </c>
      <c r="V44" s="8">
        <v>4</v>
      </c>
      <c r="W44" s="8">
        <v>0</v>
      </c>
      <c r="X44" s="8">
        <f t="shared" si="3"/>
        <v>287</v>
      </c>
      <c r="Y44" s="8">
        <f>104+183</f>
        <v>287</v>
      </c>
      <c r="Z44" s="8">
        <f>104+216</f>
        <v>320</v>
      </c>
      <c r="AA44" s="8">
        <f>22+79</f>
        <v>101</v>
      </c>
      <c r="AB44" s="8">
        <v>2</v>
      </c>
      <c r="AC44" s="8">
        <f>64+70</f>
        <v>134</v>
      </c>
      <c r="AD44" s="8">
        <v>36</v>
      </c>
      <c r="AE44" s="8">
        <v>110</v>
      </c>
      <c r="AF44" s="8">
        <v>2</v>
      </c>
      <c r="AG44" s="8">
        <v>7</v>
      </c>
      <c r="AH44" s="8">
        <v>0</v>
      </c>
      <c r="AI44" s="8">
        <v>17</v>
      </c>
      <c r="AJ44" s="8">
        <v>9</v>
      </c>
      <c r="AK44" s="8">
        <v>5</v>
      </c>
      <c r="AL44" s="8">
        <v>24</v>
      </c>
      <c r="AM44" s="8">
        <v>8</v>
      </c>
      <c r="AN44" s="8">
        <v>5</v>
      </c>
      <c r="AO44" s="8">
        <v>1</v>
      </c>
      <c r="AP44" s="8">
        <f>104+120</f>
        <v>224</v>
      </c>
      <c r="AQ44" s="8">
        <v>1</v>
      </c>
      <c r="AR44" s="8">
        <v>24</v>
      </c>
      <c r="AS44" s="8">
        <f t="shared" si="4"/>
        <v>287</v>
      </c>
      <c r="AT44" s="8">
        <f>46+65</f>
        <v>111</v>
      </c>
      <c r="AU44" s="8">
        <v>38</v>
      </c>
      <c r="AV44" s="8">
        <v>34</v>
      </c>
      <c r="AW44" s="8">
        <v>4</v>
      </c>
      <c r="AX44" s="8">
        <f>32+68</f>
        <v>100</v>
      </c>
    </row>
    <row r="45" spans="1:50" x14ac:dyDescent="0.35">
      <c r="A45" s="23" t="s">
        <v>175</v>
      </c>
      <c r="B45" s="19" t="s">
        <v>81</v>
      </c>
      <c r="C45" s="34">
        <f>14+28</f>
        <v>42</v>
      </c>
      <c r="D45" s="34">
        <f>73+99</f>
        <v>172</v>
      </c>
      <c r="E45" s="35">
        <f>32+34</f>
        <v>66</v>
      </c>
      <c r="F45" s="35">
        <f>29+42</f>
        <v>71</v>
      </c>
      <c r="G45" s="35">
        <v>17</v>
      </c>
      <c r="H45" s="35">
        <v>2</v>
      </c>
      <c r="I45" s="35">
        <v>1</v>
      </c>
      <c r="J45" s="35">
        <v>13</v>
      </c>
      <c r="K45" s="35">
        <v>2</v>
      </c>
      <c r="L45" s="35">
        <f t="shared" si="1"/>
        <v>172</v>
      </c>
      <c r="M45" s="35">
        <f>56+77</f>
        <v>133</v>
      </c>
      <c r="N45" s="35">
        <f>17+22</f>
        <v>39</v>
      </c>
      <c r="O45" s="35">
        <v>0</v>
      </c>
      <c r="P45" s="35">
        <f t="shared" si="2"/>
        <v>172</v>
      </c>
      <c r="Q45" s="35">
        <f>32+18</f>
        <v>50</v>
      </c>
      <c r="R45" s="35">
        <f>13+36</f>
        <v>49</v>
      </c>
      <c r="S45" s="35">
        <v>27</v>
      </c>
      <c r="T45" s="35">
        <v>25</v>
      </c>
      <c r="U45" s="35">
        <v>14</v>
      </c>
      <c r="V45" s="35">
        <v>6</v>
      </c>
      <c r="W45" s="35">
        <v>1</v>
      </c>
      <c r="X45" s="35">
        <f t="shared" si="3"/>
        <v>172</v>
      </c>
      <c r="Y45" s="35">
        <f>71+116</f>
        <v>187</v>
      </c>
      <c r="Z45" s="35">
        <f>68+139</f>
        <v>207</v>
      </c>
      <c r="AA45" s="35">
        <f>31+85</f>
        <v>116</v>
      </c>
      <c r="AB45" s="35">
        <v>2</v>
      </c>
      <c r="AC45" s="35">
        <f>35+63</f>
        <v>98</v>
      </c>
      <c r="AD45" s="35">
        <v>29</v>
      </c>
      <c r="AE45" s="35">
        <f>21+33</f>
        <v>54</v>
      </c>
      <c r="AF45" s="35">
        <v>5</v>
      </c>
      <c r="AG45" s="35">
        <v>0</v>
      </c>
      <c r="AH45" s="35">
        <v>0</v>
      </c>
      <c r="AI45" s="35">
        <v>28</v>
      </c>
      <c r="AJ45" s="35">
        <v>8</v>
      </c>
      <c r="AK45" s="35">
        <v>0</v>
      </c>
      <c r="AL45" s="35">
        <f>22+32</f>
        <v>54</v>
      </c>
      <c r="AM45" s="35">
        <v>2</v>
      </c>
      <c r="AN45" s="35">
        <v>6</v>
      </c>
      <c r="AO45" s="35">
        <v>4</v>
      </c>
      <c r="AP45" s="35">
        <v>76</v>
      </c>
      <c r="AQ45" s="35">
        <v>27</v>
      </c>
      <c r="AR45" s="35">
        <v>3</v>
      </c>
      <c r="AS45" s="35">
        <f t="shared" si="4"/>
        <v>172</v>
      </c>
      <c r="AT45" s="35">
        <f>33+30</f>
        <v>63</v>
      </c>
      <c r="AU45" s="35">
        <f>17+38</f>
        <v>55</v>
      </c>
      <c r="AV45" s="35">
        <v>15</v>
      </c>
      <c r="AW45" s="35">
        <v>6</v>
      </c>
      <c r="AX45" s="35">
        <v>33</v>
      </c>
    </row>
    <row r="46" spans="1:50" x14ac:dyDescent="0.35">
      <c r="A46" s="23" t="s">
        <v>90</v>
      </c>
      <c r="B46" s="16">
        <v>52041</v>
      </c>
      <c r="C46" s="33">
        <f>18+19</f>
        <v>37</v>
      </c>
      <c r="D46" s="33">
        <v>21</v>
      </c>
      <c r="E46" s="8">
        <v>2</v>
      </c>
      <c r="F46" s="8">
        <v>19</v>
      </c>
      <c r="G46" s="8">
        <v>0</v>
      </c>
      <c r="H46" s="8">
        <v>0</v>
      </c>
      <c r="I46" s="8">
        <v>0</v>
      </c>
      <c r="J46" s="8">
        <v>0</v>
      </c>
      <c r="K46" s="8">
        <v>0</v>
      </c>
      <c r="L46" s="8">
        <f t="shared" si="1"/>
        <v>21</v>
      </c>
      <c r="M46" s="8">
        <v>20</v>
      </c>
      <c r="N46" s="8">
        <v>1</v>
      </c>
      <c r="O46" s="8">
        <v>0</v>
      </c>
      <c r="P46" s="8">
        <f t="shared" si="2"/>
        <v>21</v>
      </c>
      <c r="Q46" s="8">
        <v>1</v>
      </c>
      <c r="R46" s="8">
        <v>2</v>
      </c>
      <c r="S46" s="8">
        <v>1</v>
      </c>
      <c r="T46" s="8">
        <v>4</v>
      </c>
      <c r="U46" s="8">
        <v>13</v>
      </c>
      <c r="V46" s="8">
        <v>0</v>
      </c>
      <c r="W46" s="8">
        <v>0</v>
      </c>
      <c r="X46" s="8">
        <f t="shared" si="3"/>
        <v>21</v>
      </c>
      <c r="Y46" s="8">
        <f>12+550</f>
        <v>562</v>
      </c>
      <c r="Z46" s="8">
        <f>9+19</f>
        <v>28</v>
      </c>
      <c r="AA46" s="8">
        <f>9+7</f>
        <v>16</v>
      </c>
      <c r="AB46" s="8">
        <v>25</v>
      </c>
      <c r="AC46" s="8">
        <v>18</v>
      </c>
      <c r="AD46" s="8">
        <v>5</v>
      </c>
      <c r="AE46" s="8">
        <v>1</v>
      </c>
      <c r="AF46" s="8">
        <v>0</v>
      </c>
      <c r="AG46" s="8">
        <v>15</v>
      </c>
      <c r="AH46" s="8">
        <v>0</v>
      </c>
      <c r="AI46" s="8">
        <v>34</v>
      </c>
      <c r="AJ46" s="8">
        <v>3</v>
      </c>
      <c r="AK46" s="8">
        <f>1078+1124</f>
        <v>2202</v>
      </c>
      <c r="AL46" s="8">
        <v>11</v>
      </c>
      <c r="AM46" s="8">
        <v>1</v>
      </c>
      <c r="AN46" s="8">
        <v>0</v>
      </c>
      <c r="AO46" s="8">
        <v>2</v>
      </c>
      <c r="AP46" s="8">
        <v>3</v>
      </c>
      <c r="AQ46" s="8">
        <v>0</v>
      </c>
      <c r="AR46" s="8">
        <v>4</v>
      </c>
      <c r="AS46" s="8">
        <f t="shared" si="4"/>
        <v>21</v>
      </c>
      <c r="AT46" s="8">
        <v>4</v>
      </c>
      <c r="AU46" s="8">
        <v>3</v>
      </c>
      <c r="AV46" s="8">
        <v>11</v>
      </c>
      <c r="AW46" s="8">
        <v>3</v>
      </c>
      <c r="AX46" s="8">
        <v>0</v>
      </c>
    </row>
    <row r="47" spans="1:50" x14ac:dyDescent="0.35">
      <c r="A47" s="23" t="s">
        <v>91</v>
      </c>
      <c r="B47" s="17">
        <v>131645</v>
      </c>
      <c r="C47" s="34">
        <v>42</v>
      </c>
      <c r="D47" s="34">
        <f>39+26</f>
        <v>65</v>
      </c>
      <c r="E47" s="35">
        <v>28</v>
      </c>
      <c r="F47" s="35">
        <v>18</v>
      </c>
      <c r="G47" s="35">
        <v>12</v>
      </c>
      <c r="H47" s="35">
        <v>0</v>
      </c>
      <c r="I47" s="35">
        <v>1</v>
      </c>
      <c r="J47" s="35">
        <v>2</v>
      </c>
      <c r="K47" s="35">
        <v>4</v>
      </c>
      <c r="L47" s="35">
        <f t="shared" si="1"/>
        <v>65</v>
      </c>
      <c r="M47" s="35">
        <f>34+24</f>
        <v>58</v>
      </c>
      <c r="N47" s="35">
        <v>7</v>
      </c>
      <c r="O47" s="35">
        <v>0</v>
      </c>
      <c r="P47" s="35">
        <f t="shared" si="2"/>
        <v>65</v>
      </c>
      <c r="Q47" s="35">
        <v>5</v>
      </c>
      <c r="R47" s="35">
        <v>8</v>
      </c>
      <c r="S47" s="35">
        <v>11</v>
      </c>
      <c r="T47" s="35">
        <v>22</v>
      </c>
      <c r="U47" s="35">
        <v>14</v>
      </c>
      <c r="V47" s="35">
        <v>2</v>
      </c>
      <c r="W47" s="35">
        <v>3</v>
      </c>
      <c r="X47" s="35">
        <f t="shared" si="3"/>
        <v>65</v>
      </c>
      <c r="Y47" s="35">
        <f>110+31</f>
        <v>141</v>
      </c>
      <c r="Z47" s="35">
        <f>386+37</f>
        <v>423</v>
      </c>
      <c r="AA47" s="35">
        <f>79+30</f>
        <v>109</v>
      </c>
      <c r="AB47" s="35">
        <v>10</v>
      </c>
      <c r="AC47" s="35">
        <v>55</v>
      </c>
      <c r="AD47" s="35">
        <v>21</v>
      </c>
      <c r="AE47" s="35">
        <f>15+12</f>
        <v>27</v>
      </c>
      <c r="AF47" s="35">
        <v>3</v>
      </c>
      <c r="AG47" s="35">
        <v>25</v>
      </c>
      <c r="AH47" s="35">
        <v>1</v>
      </c>
      <c r="AI47" s="35">
        <v>12</v>
      </c>
      <c r="AJ47" s="35">
        <v>1</v>
      </c>
      <c r="AK47" s="35">
        <f>1091+668</f>
        <v>1759</v>
      </c>
      <c r="AL47" s="35">
        <v>8</v>
      </c>
      <c r="AM47" s="35">
        <v>21</v>
      </c>
      <c r="AN47" s="35">
        <v>4</v>
      </c>
      <c r="AO47" s="35">
        <v>4</v>
      </c>
      <c r="AP47" s="35">
        <v>12</v>
      </c>
      <c r="AQ47" s="35">
        <v>1</v>
      </c>
      <c r="AR47" s="35">
        <v>15</v>
      </c>
      <c r="AS47" s="35">
        <f t="shared" si="4"/>
        <v>65</v>
      </c>
      <c r="AT47" s="35">
        <v>3</v>
      </c>
      <c r="AU47" s="35">
        <v>18</v>
      </c>
      <c r="AV47" s="35">
        <v>20</v>
      </c>
      <c r="AW47" s="35">
        <v>5</v>
      </c>
      <c r="AX47" s="35">
        <v>19</v>
      </c>
    </row>
    <row r="48" spans="1:50" x14ac:dyDescent="0.35">
      <c r="A48" s="23" t="s">
        <v>92</v>
      </c>
      <c r="B48" s="16">
        <v>62464</v>
      </c>
      <c r="C48" s="33">
        <f>32+31</f>
        <v>63</v>
      </c>
      <c r="D48" s="33">
        <f>46+50</f>
        <v>96</v>
      </c>
      <c r="E48" s="8">
        <f>43+48</f>
        <v>91</v>
      </c>
      <c r="F48" s="8">
        <v>2</v>
      </c>
      <c r="G48" s="8">
        <v>1</v>
      </c>
      <c r="H48" s="8">
        <v>1</v>
      </c>
      <c r="I48" s="8">
        <v>0</v>
      </c>
      <c r="J48" s="8">
        <v>1</v>
      </c>
      <c r="K48" s="8">
        <v>0</v>
      </c>
      <c r="L48" s="8">
        <f t="shared" si="1"/>
        <v>96</v>
      </c>
      <c r="M48" s="8">
        <v>88</v>
      </c>
      <c r="N48" s="8">
        <v>8</v>
      </c>
      <c r="O48" s="8">
        <v>0</v>
      </c>
      <c r="P48" s="8">
        <f t="shared" si="2"/>
        <v>96</v>
      </c>
      <c r="Q48" s="8">
        <v>14</v>
      </c>
      <c r="R48" s="8">
        <v>10</v>
      </c>
      <c r="S48" s="8">
        <v>21</v>
      </c>
      <c r="T48" s="8">
        <f>23+15</f>
        <v>38</v>
      </c>
      <c r="U48" s="8">
        <v>12</v>
      </c>
      <c r="V48" s="8">
        <v>0</v>
      </c>
      <c r="W48" s="8">
        <v>1</v>
      </c>
      <c r="X48" s="8">
        <f t="shared" si="3"/>
        <v>96</v>
      </c>
      <c r="Y48" s="8">
        <f>280+229</f>
        <v>509</v>
      </c>
      <c r="Z48" s="8">
        <f>170+129</f>
        <v>299</v>
      </c>
      <c r="AA48" s="8">
        <f>23+28</f>
        <v>51</v>
      </c>
      <c r="AB48" s="8">
        <f>158+82</f>
        <v>240</v>
      </c>
      <c r="AC48" s="8">
        <v>4</v>
      </c>
      <c r="AD48" s="8">
        <v>1</v>
      </c>
      <c r="AE48" s="8">
        <f>64+50</f>
        <v>114</v>
      </c>
      <c r="AF48" s="14">
        <v>0</v>
      </c>
      <c r="AG48" s="8">
        <f>13+26</f>
        <v>39</v>
      </c>
      <c r="AH48" s="8">
        <v>0</v>
      </c>
      <c r="AI48" s="8">
        <v>90</v>
      </c>
      <c r="AJ48" s="8">
        <v>6</v>
      </c>
      <c r="AK48" s="8">
        <f>6066+5120</f>
        <v>11186</v>
      </c>
      <c r="AL48" s="8">
        <v>18</v>
      </c>
      <c r="AM48" s="8">
        <v>20</v>
      </c>
      <c r="AN48" s="8">
        <v>16</v>
      </c>
      <c r="AO48" s="8">
        <v>31</v>
      </c>
      <c r="AP48" s="8">
        <v>3</v>
      </c>
      <c r="AQ48" s="8">
        <v>6</v>
      </c>
      <c r="AR48" s="8">
        <v>2</v>
      </c>
      <c r="AS48" s="8">
        <f t="shared" si="4"/>
        <v>96</v>
      </c>
      <c r="AT48" s="8">
        <v>43</v>
      </c>
      <c r="AU48" s="8">
        <v>2</v>
      </c>
      <c r="AV48" s="8">
        <v>31</v>
      </c>
      <c r="AW48" s="8">
        <v>1</v>
      </c>
      <c r="AX48" s="8">
        <v>19</v>
      </c>
    </row>
    <row r="49" spans="1:50" x14ac:dyDescent="0.35">
      <c r="A49" s="23" t="s">
        <v>93</v>
      </c>
      <c r="B49" s="17">
        <v>115659</v>
      </c>
      <c r="C49" s="34">
        <f>142+121</f>
        <v>263</v>
      </c>
      <c r="D49" s="34">
        <f>175+160</f>
        <v>335</v>
      </c>
      <c r="E49" s="35">
        <f>114+102</f>
        <v>216</v>
      </c>
      <c r="F49" s="35">
        <v>17</v>
      </c>
      <c r="G49" s="35">
        <v>22</v>
      </c>
      <c r="H49" s="35">
        <v>0</v>
      </c>
      <c r="I49" s="35">
        <v>0</v>
      </c>
      <c r="J49" s="35">
        <f>32+21</f>
        <v>53</v>
      </c>
      <c r="K49" s="35">
        <f>19+8</f>
        <v>27</v>
      </c>
      <c r="L49" s="35">
        <f t="shared" si="1"/>
        <v>335</v>
      </c>
      <c r="M49" s="35">
        <f>138+120</f>
        <v>258</v>
      </c>
      <c r="N49" s="35">
        <f>37+40</f>
        <v>77</v>
      </c>
      <c r="O49" s="35">
        <v>0</v>
      </c>
      <c r="P49" s="35">
        <f t="shared" si="2"/>
        <v>335</v>
      </c>
      <c r="Q49" s="35">
        <f>64+48</f>
        <v>112</v>
      </c>
      <c r="R49" s="35">
        <f>29+24</f>
        <v>53</v>
      </c>
      <c r="S49" s="35">
        <v>37</v>
      </c>
      <c r="T49" s="35">
        <f>31+63</f>
        <v>94</v>
      </c>
      <c r="U49" s="35">
        <v>14</v>
      </c>
      <c r="V49" s="35">
        <v>9</v>
      </c>
      <c r="W49" s="35">
        <v>16</v>
      </c>
      <c r="X49" s="35">
        <f t="shared" si="3"/>
        <v>335</v>
      </c>
      <c r="Y49" s="35">
        <f>33+110</f>
        <v>143</v>
      </c>
      <c r="Z49" s="35">
        <f>17+30</f>
        <v>47</v>
      </c>
      <c r="AA49" s="35">
        <f>24+33</f>
        <v>57</v>
      </c>
      <c r="AB49" s="35">
        <v>2</v>
      </c>
      <c r="AC49" s="35">
        <f>434+466</f>
        <v>900</v>
      </c>
      <c r="AD49" s="35">
        <v>7</v>
      </c>
      <c r="AE49" s="35">
        <v>30</v>
      </c>
      <c r="AF49" s="35">
        <v>0</v>
      </c>
      <c r="AG49" s="35">
        <v>13</v>
      </c>
      <c r="AH49" s="35">
        <v>0</v>
      </c>
      <c r="AI49" s="35">
        <v>9</v>
      </c>
      <c r="AJ49" s="35">
        <v>8</v>
      </c>
      <c r="AK49" s="35">
        <v>800</v>
      </c>
      <c r="AL49" s="35">
        <f>68+52</f>
        <v>120</v>
      </c>
      <c r="AM49" s="35">
        <v>9</v>
      </c>
      <c r="AN49" s="35">
        <f>33+49</f>
        <v>82</v>
      </c>
      <c r="AO49" s="35">
        <v>9</v>
      </c>
      <c r="AP49" s="35">
        <v>88</v>
      </c>
      <c r="AQ49" s="35">
        <v>13</v>
      </c>
      <c r="AR49" s="35">
        <v>14</v>
      </c>
      <c r="AS49" s="35">
        <f t="shared" si="4"/>
        <v>335</v>
      </c>
      <c r="AT49" s="35">
        <f>63+49</f>
        <v>112</v>
      </c>
      <c r="AU49" s="35">
        <f>41+32</f>
        <v>73</v>
      </c>
      <c r="AV49" s="35">
        <v>47</v>
      </c>
      <c r="AW49" s="35">
        <v>0</v>
      </c>
      <c r="AX49" s="35">
        <f>22+52</f>
        <v>74</v>
      </c>
    </row>
    <row r="50" spans="1:50" x14ac:dyDescent="0.35">
      <c r="A50" s="23" t="s">
        <v>94</v>
      </c>
      <c r="B50" s="16">
        <v>24029</v>
      </c>
      <c r="C50" s="33">
        <f>13+48</f>
        <v>61</v>
      </c>
      <c r="D50" s="33">
        <v>7</v>
      </c>
      <c r="E50" s="8">
        <v>0</v>
      </c>
      <c r="F50" s="8">
        <v>7</v>
      </c>
      <c r="G50" s="8">
        <v>0</v>
      </c>
      <c r="H50" s="8">
        <v>0</v>
      </c>
      <c r="I50" s="8">
        <v>0</v>
      </c>
      <c r="J50" s="8">
        <v>0</v>
      </c>
      <c r="K50" s="8">
        <v>0</v>
      </c>
      <c r="L50" s="8">
        <f t="shared" si="1"/>
        <v>7</v>
      </c>
      <c r="M50" s="8">
        <v>7</v>
      </c>
      <c r="N50" s="8">
        <v>0</v>
      </c>
      <c r="O50" s="8">
        <v>0</v>
      </c>
      <c r="P50" s="8">
        <f t="shared" si="2"/>
        <v>7</v>
      </c>
      <c r="Q50" s="8">
        <v>0</v>
      </c>
      <c r="R50" s="8">
        <v>2</v>
      </c>
      <c r="S50" s="8">
        <v>5</v>
      </c>
      <c r="T50" s="8">
        <v>0</v>
      </c>
      <c r="U50" s="8">
        <v>0</v>
      </c>
      <c r="V50" s="8">
        <v>0</v>
      </c>
      <c r="W50" s="8">
        <v>0</v>
      </c>
      <c r="X50" s="41">
        <f t="shared" si="3"/>
        <v>7</v>
      </c>
      <c r="Y50" s="8">
        <v>49</v>
      </c>
      <c r="Z50" s="8">
        <v>7</v>
      </c>
      <c r="AA50" s="8">
        <v>7</v>
      </c>
      <c r="AB50" s="8">
        <v>1</v>
      </c>
      <c r="AC50" s="8">
        <v>3</v>
      </c>
      <c r="AD50" s="8">
        <v>1</v>
      </c>
      <c r="AE50" s="8">
        <v>7</v>
      </c>
      <c r="AF50" s="8">
        <v>0</v>
      </c>
      <c r="AG50" s="8">
        <v>0</v>
      </c>
      <c r="AH50" s="8">
        <v>0</v>
      </c>
      <c r="AI50" s="8">
        <v>0</v>
      </c>
      <c r="AJ50" s="8">
        <v>0</v>
      </c>
      <c r="AK50" s="8">
        <v>2880</v>
      </c>
      <c r="AL50" s="8">
        <v>0</v>
      </c>
      <c r="AM50" s="8">
        <v>3</v>
      </c>
      <c r="AN50" s="8">
        <v>0</v>
      </c>
      <c r="AO50" s="8">
        <v>0</v>
      </c>
      <c r="AP50" s="8">
        <v>0</v>
      </c>
      <c r="AQ50" s="8">
        <v>3</v>
      </c>
      <c r="AR50" s="8">
        <v>1</v>
      </c>
      <c r="AS50" s="8">
        <f t="shared" si="4"/>
        <v>7</v>
      </c>
      <c r="AT50" s="8">
        <v>3</v>
      </c>
      <c r="AU50" s="8">
        <v>2</v>
      </c>
      <c r="AV50" s="8">
        <v>2</v>
      </c>
      <c r="AW50" s="8">
        <v>0</v>
      </c>
      <c r="AX50" s="8">
        <v>0</v>
      </c>
    </row>
    <row r="51" spans="1:50" x14ac:dyDescent="0.35">
      <c r="A51" s="23" t="s">
        <v>95</v>
      </c>
      <c r="B51" s="19">
        <v>53435</v>
      </c>
      <c r="C51" s="34">
        <v>95</v>
      </c>
      <c r="D51" s="34">
        <v>10</v>
      </c>
      <c r="E51" s="35">
        <v>1</v>
      </c>
      <c r="F51" s="35">
        <v>5</v>
      </c>
      <c r="G51" s="35">
        <v>1</v>
      </c>
      <c r="H51" s="35">
        <v>2</v>
      </c>
      <c r="I51" s="35">
        <v>0</v>
      </c>
      <c r="J51" s="35">
        <v>1</v>
      </c>
      <c r="K51" s="35">
        <v>0</v>
      </c>
      <c r="L51" s="35">
        <f t="shared" si="1"/>
        <v>10</v>
      </c>
      <c r="M51" s="35">
        <v>10</v>
      </c>
      <c r="N51" s="35">
        <v>0</v>
      </c>
      <c r="O51" s="35">
        <v>0</v>
      </c>
      <c r="P51" s="35">
        <f t="shared" si="2"/>
        <v>10</v>
      </c>
      <c r="Q51" s="35">
        <v>0</v>
      </c>
      <c r="R51" s="35">
        <v>0</v>
      </c>
      <c r="S51" s="35">
        <v>2</v>
      </c>
      <c r="T51" s="35">
        <v>6</v>
      </c>
      <c r="U51" s="35">
        <v>2</v>
      </c>
      <c r="V51" s="35">
        <v>0</v>
      </c>
      <c r="W51" s="35">
        <v>0</v>
      </c>
      <c r="X51" s="35">
        <f t="shared" si="3"/>
        <v>10</v>
      </c>
      <c r="Y51" s="35">
        <v>9</v>
      </c>
      <c r="Z51" s="35">
        <v>9</v>
      </c>
      <c r="AA51" s="35">
        <v>7</v>
      </c>
      <c r="AB51" s="35">
        <v>9</v>
      </c>
      <c r="AC51" s="35">
        <v>1</v>
      </c>
      <c r="AD51" s="35">
        <v>4</v>
      </c>
      <c r="AE51" s="35">
        <v>3</v>
      </c>
      <c r="AF51" s="35">
        <v>0</v>
      </c>
      <c r="AG51" s="35">
        <v>16</v>
      </c>
      <c r="AH51" s="35">
        <v>7</v>
      </c>
      <c r="AI51" s="35">
        <v>18</v>
      </c>
      <c r="AJ51" s="35">
        <v>12</v>
      </c>
      <c r="AK51" s="35">
        <f>708+196</f>
        <v>904</v>
      </c>
      <c r="AL51" s="35">
        <v>5</v>
      </c>
      <c r="AM51" s="35">
        <v>0</v>
      </c>
      <c r="AN51" s="35">
        <v>1</v>
      </c>
      <c r="AO51" s="35">
        <v>0</v>
      </c>
      <c r="AP51" s="35">
        <v>0</v>
      </c>
      <c r="AQ51" s="35">
        <v>0</v>
      </c>
      <c r="AR51" s="35">
        <v>4</v>
      </c>
      <c r="AS51" s="35">
        <f t="shared" si="4"/>
        <v>10</v>
      </c>
      <c r="AT51" s="35">
        <v>1</v>
      </c>
      <c r="AU51" s="35">
        <v>6</v>
      </c>
      <c r="AV51" s="35">
        <v>2</v>
      </c>
      <c r="AW51" s="35">
        <v>1</v>
      </c>
      <c r="AX51" s="35">
        <v>0</v>
      </c>
    </row>
    <row r="52" spans="1:50" x14ac:dyDescent="0.35">
      <c r="A52" s="23" t="s">
        <v>96</v>
      </c>
      <c r="B52" s="16">
        <v>5466</v>
      </c>
      <c r="C52" s="33">
        <f>376+281</f>
        <v>657</v>
      </c>
      <c r="D52" s="33">
        <f>52+29</f>
        <v>81</v>
      </c>
      <c r="E52" s="8">
        <f>22+10</f>
        <v>32</v>
      </c>
      <c r="F52" s="8">
        <v>33</v>
      </c>
      <c r="G52" s="8">
        <v>16</v>
      </c>
      <c r="H52" s="8">
        <v>0</v>
      </c>
      <c r="I52" s="8">
        <v>0</v>
      </c>
      <c r="J52" s="8">
        <v>0</v>
      </c>
      <c r="K52" s="8">
        <v>0</v>
      </c>
      <c r="L52" s="8">
        <f t="shared" si="1"/>
        <v>81</v>
      </c>
      <c r="M52" s="8">
        <v>81</v>
      </c>
      <c r="N52" s="8">
        <v>0</v>
      </c>
      <c r="O52" s="8">
        <v>0</v>
      </c>
      <c r="P52" s="8">
        <f t="shared" si="2"/>
        <v>81</v>
      </c>
      <c r="Q52" s="8">
        <v>5</v>
      </c>
      <c r="R52" s="8">
        <v>13</v>
      </c>
      <c r="S52" s="8">
        <v>7</v>
      </c>
      <c r="T52" s="8">
        <f>23+18</f>
        <v>41</v>
      </c>
      <c r="U52" s="8">
        <v>14</v>
      </c>
      <c r="V52" s="8">
        <v>1</v>
      </c>
      <c r="W52" s="8">
        <v>0</v>
      </c>
      <c r="X52" s="8">
        <f t="shared" si="3"/>
        <v>81</v>
      </c>
      <c r="Y52" s="8">
        <f>202+262</f>
        <v>464</v>
      </c>
      <c r="Z52" s="8">
        <f>79+172</f>
        <v>251</v>
      </c>
      <c r="AA52" s="8">
        <f>102+113</f>
        <v>215</v>
      </c>
      <c r="AB52" s="8">
        <v>19</v>
      </c>
      <c r="AC52" s="8">
        <f>202+262</f>
        <v>464</v>
      </c>
      <c r="AD52" s="8">
        <v>4</v>
      </c>
      <c r="AE52" s="8">
        <f>14+18</f>
        <v>32</v>
      </c>
      <c r="AF52" s="8">
        <v>0</v>
      </c>
      <c r="AG52" s="8">
        <f>43+22</f>
        <v>65</v>
      </c>
      <c r="AH52" s="8">
        <v>24</v>
      </c>
      <c r="AI52" s="8">
        <v>88</v>
      </c>
      <c r="AJ52" s="8">
        <f>43+101</f>
        <v>144</v>
      </c>
      <c r="AK52" s="8">
        <f>1218+1138</f>
        <v>2356</v>
      </c>
      <c r="AL52" s="8">
        <v>22</v>
      </c>
      <c r="AM52" s="8">
        <v>0</v>
      </c>
      <c r="AN52" s="8">
        <v>20</v>
      </c>
      <c r="AO52" s="8">
        <v>0</v>
      </c>
      <c r="AP52" s="8">
        <f>24+9</f>
        <v>33</v>
      </c>
      <c r="AQ52" s="8">
        <v>0</v>
      </c>
      <c r="AR52" s="8">
        <v>6</v>
      </c>
      <c r="AS52" s="8">
        <f t="shared" si="4"/>
        <v>81</v>
      </c>
      <c r="AT52" s="8">
        <f>18+17</f>
        <v>35</v>
      </c>
      <c r="AU52" s="8">
        <v>34</v>
      </c>
      <c r="AV52" s="8">
        <v>6</v>
      </c>
      <c r="AW52" s="8">
        <v>4</v>
      </c>
      <c r="AX52" s="8">
        <v>2</v>
      </c>
    </row>
    <row r="53" spans="1:50" x14ac:dyDescent="0.35">
      <c r="A53" s="23" t="s">
        <v>97</v>
      </c>
      <c r="B53" s="19">
        <v>176229</v>
      </c>
      <c r="C53" s="34">
        <f>28+29</f>
        <v>57</v>
      </c>
      <c r="D53" s="34">
        <f>45+34</f>
        <v>79</v>
      </c>
      <c r="E53" s="35">
        <f>39+27</f>
        <v>66</v>
      </c>
      <c r="F53" s="35">
        <v>7</v>
      </c>
      <c r="G53" s="35">
        <v>3</v>
      </c>
      <c r="H53" s="35">
        <v>0</v>
      </c>
      <c r="I53" s="35">
        <v>1</v>
      </c>
      <c r="J53" s="35">
        <v>2</v>
      </c>
      <c r="K53" s="35">
        <v>0</v>
      </c>
      <c r="L53" s="35">
        <f t="shared" si="1"/>
        <v>79</v>
      </c>
      <c r="M53" s="35">
        <f>41+34</f>
        <v>75</v>
      </c>
      <c r="N53" s="35">
        <v>4</v>
      </c>
      <c r="O53" s="35">
        <v>0</v>
      </c>
      <c r="P53" s="35">
        <f t="shared" si="2"/>
        <v>79</v>
      </c>
      <c r="Q53" s="35">
        <v>0</v>
      </c>
      <c r="R53" s="35">
        <v>2</v>
      </c>
      <c r="S53" s="35">
        <v>11</v>
      </c>
      <c r="T53" s="35">
        <v>25</v>
      </c>
      <c r="U53" s="35">
        <f>19+16</f>
        <v>35</v>
      </c>
      <c r="V53" s="35">
        <v>1</v>
      </c>
      <c r="W53" s="35">
        <v>5</v>
      </c>
      <c r="X53" s="35">
        <f t="shared" si="3"/>
        <v>79</v>
      </c>
      <c r="Y53" s="35">
        <f>49+17</f>
        <v>66</v>
      </c>
      <c r="Z53" s="35">
        <v>6</v>
      </c>
      <c r="AA53" s="35">
        <v>13</v>
      </c>
      <c r="AB53" s="35">
        <v>0</v>
      </c>
      <c r="AC53" s="35">
        <f>181+67</f>
        <v>248</v>
      </c>
      <c r="AD53" s="35">
        <v>0</v>
      </c>
      <c r="AE53" s="35">
        <v>25</v>
      </c>
      <c r="AF53" s="35">
        <v>0</v>
      </c>
      <c r="AG53" s="35">
        <v>26</v>
      </c>
      <c r="AH53" s="35">
        <v>26</v>
      </c>
      <c r="AI53" s="35">
        <v>18</v>
      </c>
      <c r="AJ53" s="35">
        <v>2</v>
      </c>
      <c r="AK53" s="35">
        <v>38</v>
      </c>
      <c r="AL53" s="35">
        <v>31</v>
      </c>
      <c r="AM53" s="35">
        <v>6</v>
      </c>
      <c r="AN53" s="35">
        <v>23</v>
      </c>
      <c r="AO53" s="35">
        <v>19</v>
      </c>
      <c r="AP53" s="35">
        <v>0</v>
      </c>
      <c r="AQ53" s="35">
        <v>0</v>
      </c>
      <c r="AR53" s="35">
        <v>0</v>
      </c>
      <c r="AS53" s="35">
        <f t="shared" si="4"/>
        <v>79</v>
      </c>
      <c r="AT53" s="35">
        <v>67</v>
      </c>
      <c r="AU53" s="35">
        <v>8</v>
      </c>
      <c r="AV53" s="35">
        <v>4</v>
      </c>
      <c r="AW53" s="35">
        <v>0</v>
      </c>
      <c r="AX53" s="35">
        <v>0</v>
      </c>
    </row>
    <row r="54" spans="1:50" x14ac:dyDescent="0.35">
      <c r="A54" s="23" t="s">
        <v>98</v>
      </c>
      <c r="B54" s="16">
        <v>43639</v>
      </c>
      <c r="C54" s="33">
        <f>69+37</f>
        <v>106</v>
      </c>
      <c r="D54" s="33">
        <f>65+31</f>
        <v>96</v>
      </c>
      <c r="E54" s="8">
        <f>38+29</f>
        <v>67</v>
      </c>
      <c r="F54" s="8">
        <v>1</v>
      </c>
      <c r="G54" s="8">
        <v>18</v>
      </c>
      <c r="H54" s="8">
        <v>3</v>
      </c>
      <c r="I54" s="8">
        <v>0</v>
      </c>
      <c r="J54" s="8">
        <v>2</v>
      </c>
      <c r="K54" s="8">
        <v>5</v>
      </c>
      <c r="L54" s="8">
        <f t="shared" si="1"/>
        <v>96</v>
      </c>
      <c r="M54" s="8">
        <v>76</v>
      </c>
      <c r="N54" s="8">
        <v>20</v>
      </c>
      <c r="O54" s="8">
        <v>0</v>
      </c>
      <c r="P54" s="8">
        <f t="shared" si="2"/>
        <v>96</v>
      </c>
      <c r="Q54" s="8">
        <f>27+12</f>
        <v>39</v>
      </c>
      <c r="R54" s="8">
        <v>4</v>
      </c>
      <c r="S54" s="8">
        <v>15</v>
      </c>
      <c r="T54" s="8">
        <v>23</v>
      </c>
      <c r="U54" s="8">
        <v>7</v>
      </c>
      <c r="V54" s="8">
        <v>4</v>
      </c>
      <c r="W54" s="8">
        <v>4</v>
      </c>
      <c r="X54" s="8">
        <f t="shared" si="3"/>
        <v>96</v>
      </c>
      <c r="Y54" s="8">
        <f>186+95</f>
        <v>281</v>
      </c>
      <c r="Z54" s="8">
        <f>128+137</f>
        <v>265</v>
      </c>
      <c r="AA54" s="8">
        <f>120+58</f>
        <v>178</v>
      </c>
      <c r="AB54" s="8">
        <v>18</v>
      </c>
      <c r="AC54" s="8">
        <f>154+43</f>
        <v>197</v>
      </c>
      <c r="AD54" s="8">
        <v>4</v>
      </c>
      <c r="AE54" s="8">
        <f>91+62</f>
        <v>153</v>
      </c>
      <c r="AF54" s="8">
        <v>5</v>
      </c>
      <c r="AG54" s="8">
        <v>4</v>
      </c>
      <c r="AH54" s="8">
        <v>0</v>
      </c>
      <c r="AI54" s="8">
        <f>119+48</f>
        <v>167</v>
      </c>
      <c r="AJ54" s="8">
        <v>19</v>
      </c>
      <c r="AK54" s="8">
        <f>1712+1690</f>
        <v>3402</v>
      </c>
      <c r="AL54" s="8">
        <v>5</v>
      </c>
      <c r="AM54" s="8">
        <v>0</v>
      </c>
      <c r="AN54" s="8">
        <v>3</v>
      </c>
      <c r="AO54" s="8">
        <v>3</v>
      </c>
      <c r="AP54" s="8">
        <v>15</v>
      </c>
      <c r="AQ54" s="8">
        <v>0</v>
      </c>
      <c r="AR54" s="8">
        <v>70</v>
      </c>
      <c r="AS54" s="8">
        <f t="shared" si="4"/>
        <v>96</v>
      </c>
      <c r="AT54" s="8">
        <v>0</v>
      </c>
      <c r="AU54" s="8">
        <v>0</v>
      </c>
      <c r="AV54" s="8">
        <v>0</v>
      </c>
      <c r="AW54" s="8">
        <v>0</v>
      </c>
      <c r="AX54" s="8">
        <v>96</v>
      </c>
    </row>
    <row r="55" spans="1:50" x14ac:dyDescent="0.35">
      <c r="A55" s="23" t="s">
        <v>99</v>
      </c>
      <c r="B55" s="17">
        <v>194271</v>
      </c>
      <c r="C55" s="34">
        <v>55</v>
      </c>
      <c r="D55" s="34">
        <f>13+75</f>
        <v>88</v>
      </c>
      <c r="E55" s="35">
        <v>51</v>
      </c>
      <c r="F55" s="35">
        <v>17</v>
      </c>
      <c r="G55" s="35">
        <v>5</v>
      </c>
      <c r="H55" s="35">
        <v>0</v>
      </c>
      <c r="I55" s="35">
        <v>0</v>
      </c>
      <c r="J55" s="35">
        <v>11</v>
      </c>
      <c r="K55" s="35">
        <v>4</v>
      </c>
      <c r="L55" s="35">
        <f t="shared" si="1"/>
        <v>88</v>
      </c>
      <c r="M55" s="35">
        <f>11+47</f>
        <v>58</v>
      </c>
      <c r="N55" s="35">
        <v>30</v>
      </c>
      <c r="O55" s="35">
        <v>0</v>
      </c>
      <c r="P55" s="35">
        <f t="shared" si="2"/>
        <v>88</v>
      </c>
      <c r="Q55" s="35">
        <v>26</v>
      </c>
      <c r="R55" s="35">
        <v>14</v>
      </c>
      <c r="S55" s="35">
        <v>12</v>
      </c>
      <c r="T55" s="35">
        <v>19</v>
      </c>
      <c r="U55" s="35">
        <v>13</v>
      </c>
      <c r="V55" s="35">
        <v>3</v>
      </c>
      <c r="W55" s="35">
        <v>1</v>
      </c>
      <c r="X55" s="35">
        <f t="shared" si="3"/>
        <v>88</v>
      </c>
      <c r="Y55" s="35">
        <v>41</v>
      </c>
      <c r="Z55" s="35">
        <f>13+41</f>
        <v>54</v>
      </c>
      <c r="AA55" s="35">
        <v>54</v>
      </c>
      <c r="AB55" s="35">
        <v>2</v>
      </c>
      <c r="AC55" s="35">
        <v>41</v>
      </c>
      <c r="AD55" s="35">
        <v>5</v>
      </c>
      <c r="AE55" s="35">
        <v>54</v>
      </c>
      <c r="AF55" s="35">
        <v>1</v>
      </c>
      <c r="AG55" s="35">
        <v>12</v>
      </c>
      <c r="AH55" s="35">
        <v>6</v>
      </c>
      <c r="AI55" s="35">
        <v>7</v>
      </c>
      <c r="AJ55" s="35">
        <v>6</v>
      </c>
      <c r="AK55" s="35">
        <v>375</v>
      </c>
      <c r="AL55" s="35">
        <v>30</v>
      </c>
      <c r="AM55" s="35">
        <v>9</v>
      </c>
      <c r="AN55" s="35">
        <v>27</v>
      </c>
      <c r="AO55" s="35">
        <v>9</v>
      </c>
      <c r="AP55" s="35">
        <v>9</v>
      </c>
      <c r="AQ55" s="35">
        <v>4</v>
      </c>
      <c r="AR55" s="35">
        <v>0</v>
      </c>
      <c r="AS55" s="35">
        <f t="shared" si="4"/>
        <v>88</v>
      </c>
      <c r="AT55" s="35">
        <v>16</v>
      </c>
      <c r="AU55" s="35">
        <v>51</v>
      </c>
      <c r="AV55" s="35">
        <v>6</v>
      </c>
      <c r="AW55" s="35">
        <v>16</v>
      </c>
      <c r="AX55" s="35">
        <v>0</v>
      </c>
    </row>
    <row r="56" spans="1:50" x14ac:dyDescent="0.35">
      <c r="A56" s="23" t="s">
        <v>100</v>
      </c>
      <c r="B56" s="16">
        <v>10100</v>
      </c>
      <c r="C56" s="33">
        <v>46</v>
      </c>
      <c r="D56" s="33">
        <f>27+62</f>
        <v>89</v>
      </c>
      <c r="E56" s="8">
        <f>25+48</f>
        <v>73</v>
      </c>
      <c r="F56" s="8">
        <v>15</v>
      </c>
      <c r="G56" s="8">
        <v>1</v>
      </c>
      <c r="H56" s="8">
        <v>0</v>
      </c>
      <c r="I56" s="8">
        <v>0</v>
      </c>
      <c r="J56" s="8">
        <v>0</v>
      </c>
      <c r="K56" s="8">
        <v>0</v>
      </c>
      <c r="L56" s="8">
        <f t="shared" si="1"/>
        <v>89</v>
      </c>
      <c r="M56" s="8">
        <f>26+55</f>
        <v>81</v>
      </c>
      <c r="N56" s="8">
        <v>8</v>
      </c>
      <c r="O56" s="8">
        <v>0</v>
      </c>
      <c r="P56" s="8">
        <f t="shared" si="2"/>
        <v>89</v>
      </c>
      <c r="Q56" s="8">
        <v>13</v>
      </c>
      <c r="R56" s="8">
        <v>13</v>
      </c>
      <c r="S56" s="8">
        <v>11</v>
      </c>
      <c r="T56" s="8">
        <f>27+9</f>
        <v>36</v>
      </c>
      <c r="U56" s="8">
        <v>13</v>
      </c>
      <c r="V56" s="8">
        <v>3</v>
      </c>
      <c r="W56" s="8">
        <v>0</v>
      </c>
      <c r="X56" s="8">
        <f t="shared" si="3"/>
        <v>89</v>
      </c>
      <c r="Y56" s="8">
        <f>51+89</f>
        <v>140</v>
      </c>
      <c r="Z56" s="8">
        <f>45+51</f>
        <v>96</v>
      </c>
      <c r="AA56" s="8">
        <f>34+43</f>
        <v>77</v>
      </c>
      <c r="AB56" s="8">
        <f>174+445</f>
        <v>619</v>
      </c>
      <c r="AC56" s="8">
        <f>540+930</f>
        <v>1470</v>
      </c>
      <c r="AD56" s="8">
        <v>9</v>
      </c>
      <c r="AE56" s="8">
        <v>8</v>
      </c>
      <c r="AF56" s="8">
        <v>0</v>
      </c>
      <c r="AG56" s="8">
        <v>21</v>
      </c>
      <c r="AH56" s="8">
        <v>6</v>
      </c>
      <c r="AI56" s="8">
        <v>8</v>
      </c>
      <c r="AJ56" s="8">
        <v>5</v>
      </c>
      <c r="AK56" s="8">
        <f>1790+690</f>
        <v>2480</v>
      </c>
      <c r="AL56" s="8">
        <v>10</v>
      </c>
      <c r="AM56" s="8">
        <v>3</v>
      </c>
      <c r="AN56" s="8">
        <v>31</v>
      </c>
      <c r="AO56" s="8">
        <v>1</v>
      </c>
      <c r="AP56" s="8">
        <v>10</v>
      </c>
      <c r="AQ56" s="8">
        <v>3</v>
      </c>
      <c r="AR56" s="8">
        <v>31</v>
      </c>
      <c r="AS56" s="8">
        <f t="shared" si="4"/>
        <v>89</v>
      </c>
      <c r="AT56" s="8">
        <f>21+27</f>
        <v>48</v>
      </c>
      <c r="AU56" s="8">
        <v>18</v>
      </c>
      <c r="AV56" s="8">
        <v>15</v>
      </c>
      <c r="AW56" s="8">
        <v>8</v>
      </c>
      <c r="AX56" s="8">
        <v>0</v>
      </c>
    </row>
    <row r="57" spans="1:50" x14ac:dyDescent="0.35">
      <c r="A57" s="23" t="s">
        <v>189</v>
      </c>
      <c r="B57" s="17">
        <v>59729</v>
      </c>
      <c r="C57" s="34">
        <v>28</v>
      </c>
      <c r="D57" s="34">
        <v>11</v>
      </c>
      <c r="E57" s="35">
        <v>2</v>
      </c>
      <c r="F57" s="35">
        <v>5</v>
      </c>
      <c r="G57" s="35">
        <v>4</v>
      </c>
      <c r="H57" s="35">
        <v>0</v>
      </c>
      <c r="I57" s="35">
        <v>0</v>
      </c>
      <c r="J57" s="35">
        <v>0</v>
      </c>
      <c r="K57" s="35">
        <v>0</v>
      </c>
      <c r="L57" s="35">
        <f t="shared" si="1"/>
        <v>11</v>
      </c>
      <c r="M57" s="35">
        <v>11</v>
      </c>
      <c r="N57" s="35">
        <v>0</v>
      </c>
      <c r="O57" s="35">
        <v>0</v>
      </c>
      <c r="P57" s="35">
        <v>11</v>
      </c>
      <c r="Q57" s="35">
        <v>0</v>
      </c>
      <c r="R57" s="35">
        <v>4</v>
      </c>
      <c r="S57" s="35">
        <v>6</v>
      </c>
      <c r="T57" s="35">
        <v>1</v>
      </c>
      <c r="U57" s="35">
        <v>0</v>
      </c>
      <c r="V57" s="35">
        <v>0</v>
      </c>
      <c r="W57" s="35">
        <v>0</v>
      </c>
      <c r="X57" s="35">
        <f t="shared" si="3"/>
        <v>11</v>
      </c>
      <c r="Y57" s="35">
        <v>28</v>
      </c>
      <c r="Z57" s="35">
        <v>28</v>
      </c>
      <c r="AA57" s="35">
        <v>22</v>
      </c>
      <c r="AB57" s="35">
        <v>9</v>
      </c>
      <c r="AC57" s="35">
        <v>11</v>
      </c>
      <c r="AD57" s="35">
        <v>4</v>
      </c>
      <c r="AE57" s="35">
        <v>24</v>
      </c>
      <c r="AF57" s="35">
        <v>0</v>
      </c>
      <c r="AG57" s="35">
        <v>12</v>
      </c>
      <c r="AH57" s="35">
        <v>0</v>
      </c>
      <c r="AI57" s="35">
        <v>12</v>
      </c>
      <c r="AJ57" s="35">
        <v>4</v>
      </c>
      <c r="AK57" s="35">
        <v>1042</v>
      </c>
      <c r="AL57" s="35">
        <v>8</v>
      </c>
      <c r="AM57" s="35">
        <v>0</v>
      </c>
      <c r="AN57" s="35">
        <v>0</v>
      </c>
      <c r="AO57" s="35">
        <v>3</v>
      </c>
      <c r="AP57" s="35">
        <v>0</v>
      </c>
      <c r="AQ57" s="35">
        <v>0</v>
      </c>
      <c r="AR57" s="35">
        <v>0</v>
      </c>
      <c r="AS57" s="35">
        <f t="shared" si="4"/>
        <v>11</v>
      </c>
      <c r="AT57" s="35">
        <v>0</v>
      </c>
      <c r="AU57" s="35">
        <v>3</v>
      </c>
      <c r="AV57" s="35">
        <v>8</v>
      </c>
      <c r="AW57" s="35">
        <v>0</v>
      </c>
      <c r="AX57" s="35">
        <v>0</v>
      </c>
    </row>
    <row r="58" spans="1:50" x14ac:dyDescent="0.35">
      <c r="A58" s="23" t="s">
        <v>101</v>
      </c>
      <c r="B58" s="16">
        <v>57346</v>
      </c>
      <c r="C58" s="33">
        <v>5</v>
      </c>
      <c r="D58" s="33">
        <v>5</v>
      </c>
      <c r="E58" s="8">
        <v>1</v>
      </c>
      <c r="F58" s="8">
        <v>4</v>
      </c>
      <c r="G58" s="8">
        <v>0</v>
      </c>
      <c r="H58" s="8">
        <v>0</v>
      </c>
      <c r="I58" s="8">
        <v>0</v>
      </c>
      <c r="J58" s="8">
        <v>0</v>
      </c>
      <c r="K58" s="8">
        <v>0</v>
      </c>
      <c r="L58" s="8">
        <v>5</v>
      </c>
      <c r="M58" s="8">
        <v>4</v>
      </c>
      <c r="N58" s="8">
        <v>1</v>
      </c>
      <c r="O58" s="8">
        <v>0</v>
      </c>
      <c r="P58" s="8">
        <v>5</v>
      </c>
      <c r="Q58" s="8">
        <v>3</v>
      </c>
      <c r="R58" s="8">
        <v>1</v>
      </c>
      <c r="S58" s="8">
        <v>0</v>
      </c>
      <c r="T58" s="8">
        <v>0</v>
      </c>
      <c r="U58" s="8">
        <v>1</v>
      </c>
      <c r="V58" s="8">
        <v>0</v>
      </c>
      <c r="W58" s="8">
        <v>0</v>
      </c>
      <c r="X58" s="8">
        <v>5</v>
      </c>
      <c r="Y58" s="8">
        <v>2</v>
      </c>
      <c r="Z58" s="8">
        <v>3</v>
      </c>
      <c r="AA58" s="8">
        <v>2</v>
      </c>
      <c r="AB58" s="8">
        <v>0</v>
      </c>
      <c r="AC58" s="8">
        <v>0</v>
      </c>
      <c r="AD58" s="8">
        <v>0</v>
      </c>
      <c r="AE58" s="8">
        <v>8</v>
      </c>
      <c r="AF58" s="8">
        <v>0</v>
      </c>
      <c r="AG58" s="8">
        <v>1</v>
      </c>
      <c r="AH58" s="8">
        <v>4</v>
      </c>
      <c r="AI58" s="8">
        <v>0</v>
      </c>
      <c r="AJ58" s="8">
        <v>0</v>
      </c>
      <c r="AK58" s="8">
        <f>325+340</f>
        <v>665</v>
      </c>
      <c r="AL58" s="8">
        <v>1</v>
      </c>
      <c r="AM58" s="8">
        <v>0</v>
      </c>
      <c r="AN58" s="8">
        <v>0</v>
      </c>
      <c r="AO58" s="8">
        <v>0</v>
      </c>
      <c r="AP58" s="8">
        <v>0</v>
      </c>
      <c r="AQ58" s="8">
        <v>4</v>
      </c>
      <c r="AR58" s="8">
        <v>0</v>
      </c>
      <c r="AS58" s="8">
        <v>5</v>
      </c>
      <c r="AT58" s="8">
        <v>4</v>
      </c>
      <c r="AU58" s="8">
        <v>0</v>
      </c>
      <c r="AV58" s="8">
        <v>0</v>
      </c>
      <c r="AW58" s="8">
        <v>1</v>
      </c>
      <c r="AX58" s="8">
        <v>0</v>
      </c>
    </row>
    <row r="59" spans="1:50" x14ac:dyDescent="0.35">
      <c r="A59" s="23" t="s">
        <v>102</v>
      </c>
      <c r="B59" s="17">
        <v>83318</v>
      </c>
      <c r="C59" s="34">
        <v>16</v>
      </c>
      <c r="D59" s="34">
        <f>45+23</f>
        <v>68</v>
      </c>
      <c r="E59" s="35">
        <v>60</v>
      </c>
      <c r="F59" s="35">
        <v>5</v>
      </c>
      <c r="G59" s="35">
        <v>3</v>
      </c>
      <c r="H59" s="35">
        <v>0</v>
      </c>
      <c r="I59" s="35">
        <v>0</v>
      </c>
      <c r="J59" s="35">
        <v>0</v>
      </c>
      <c r="K59" s="35">
        <v>0</v>
      </c>
      <c r="L59" s="35">
        <f t="shared" si="1"/>
        <v>68</v>
      </c>
      <c r="M59" s="35">
        <v>66</v>
      </c>
      <c r="N59" s="35">
        <v>2</v>
      </c>
      <c r="O59" s="35">
        <v>0</v>
      </c>
      <c r="P59" s="35">
        <f t="shared" si="2"/>
        <v>68</v>
      </c>
      <c r="Q59" s="35">
        <v>0</v>
      </c>
      <c r="R59" s="35">
        <v>2</v>
      </c>
      <c r="S59" s="35">
        <v>11</v>
      </c>
      <c r="T59" s="35">
        <v>35</v>
      </c>
      <c r="U59" s="35">
        <v>18</v>
      </c>
      <c r="V59" s="35">
        <v>2</v>
      </c>
      <c r="W59" s="35">
        <v>0</v>
      </c>
      <c r="X59" s="35">
        <f t="shared" si="3"/>
        <v>68</v>
      </c>
      <c r="Y59" s="35">
        <f>45+23</f>
        <v>68</v>
      </c>
      <c r="Z59" s="35">
        <v>29</v>
      </c>
      <c r="AA59" s="35">
        <f>18+17</f>
        <v>35</v>
      </c>
      <c r="AB59" s="35">
        <v>21</v>
      </c>
      <c r="AC59" s="35">
        <f>22+17</f>
        <v>39</v>
      </c>
      <c r="AD59" s="35">
        <v>6</v>
      </c>
      <c r="AE59" s="35">
        <v>12</v>
      </c>
      <c r="AF59" s="35">
        <v>0</v>
      </c>
      <c r="AG59" s="35">
        <v>45</v>
      </c>
      <c r="AH59" s="35">
        <v>0</v>
      </c>
      <c r="AI59" s="35">
        <v>15</v>
      </c>
      <c r="AJ59" s="35">
        <v>12</v>
      </c>
      <c r="AK59" s="35">
        <v>0</v>
      </c>
      <c r="AL59" s="35">
        <v>21</v>
      </c>
      <c r="AM59" s="35">
        <v>4</v>
      </c>
      <c r="AN59" s="35">
        <v>18</v>
      </c>
      <c r="AO59" s="35">
        <v>11</v>
      </c>
      <c r="AP59" s="35">
        <v>3</v>
      </c>
      <c r="AQ59" s="35">
        <v>8</v>
      </c>
      <c r="AR59" s="35">
        <v>3</v>
      </c>
      <c r="AS59" s="35">
        <f t="shared" si="4"/>
        <v>68</v>
      </c>
      <c r="AT59" s="35">
        <v>27</v>
      </c>
      <c r="AU59" s="35">
        <v>15</v>
      </c>
      <c r="AV59" s="35">
        <v>13</v>
      </c>
      <c r="AW59" s="35">
        <v>3</v>
      </c>
      <c r="AX59" s="35">
        <v>8</v>
      </c>
    </row>
    <row r="60" spans="1:50" x14ac:dyDescent="0.35">
      <c r="A60" s="23" t="s">
        <v>176</v>
      </c>
      <c r="B60" s="16">
        <v>35596</v>
      </c>
      <c r="C60" s="33">
        <f>54+96</f>
        <v>150</v>
      </c>
      <c r="D60" s="33">
        <f>77+56</f>
        <v>133</v>
      </c>
      <c r="E60" s="8">
        <f>52+50</f>
        <v>102</v>
      </c>
      <c r="F60" s="8">
        <v>2</v>
      </c>
      <c r="G60" s="8">
        <v>23</v>
      </c>
      <c r="H60" s="8">
        <v>0</v>
      </c>
      <c r="I60" s="8">
        <v>0</v>
      </c>
      <c r="J60" s="8">
        <v>1</v>
      </c>
      <c r="K60" s="8">
        <v>5</v>
      </c>
      <c r="L60" s="8">
        <f t="shared" si="1"/>
        <v>133</v>
      </c>
      <c r="M60" s="8">
        <f>57+43</f>
        <v>100</v>
      </c>
      <c r="N60" s="8">
        <v>33</v>
      </c>
      <c r="O60" s="8">
        <v>0</v>
      </c>
      <c r="P60" s="8">
        <f t="shared" si="2"/>
        <v>133</v>
      </c>
      <c r="Q60" s="8">
        <f>23+16</f>
        <v>39</v>
      </c>
      <c r="R60" s="8">
        <v>17</v>
      </c>
      <c r="S60" s="8">
        <v>11</v>
      </c>
      <c r="T60" s="8">
        <f>21+17</f>
        <v>38</v>
      </c>
      <c r="U60" s="8">
        <v>24</v>
      </c>
      <c r="V60" s="8">
        <v>3</v>
      </c>
      <c r="W60" s="8">
        <v>1</v>
      </c>
      <c r="X60" s="8">
        <f t="shared" si="3"/>
        <v>133</v>
      </c>
      <c r="Y60" s="8">
        <f>46+94</f>
        <v>140</v>
      </c>
      <c r="Z60" s="8">
        <v>298</v>
      </c>
      <c r="AA60" s="8">
        <f>29+139</f>
        <v>168</v>
      </c>
      <c r="AB60" s="8">
        <v>14</v>
      </c>
      <c r="AC60" s="8">
        <f>46+21</f>
        <v>67</v>
      </c>
      <c r="AD60" s="8">
        <v>4</v>
      </c>
      <c r="AE60" s="8">
        <f>37+33</f>
        <v>70</v>
      </c>
      <c r="AF60" s="8">
        <v>13</v>
      </c>
      <c r="AG60" s="8">
        <v>12</v>
      </c>
      <c r="AH60" s="8">
        <v>3</v>
      </c>
      <c r="AI60" s="8">
        <f>119+103</f>
        <v>222</v>
      </c>
      <c r="AJ60" s="8">
        <v>19</v>
      </c>
      <c r="AK60" s="8">
        <f>1712+1690</f>
        <v>3402</v>
      </c>
      <c r="AL60" s="8">
        <v>11</v>
      </c>
      <c r="AM60" s="8">
        <v>4</v>
      </c>
      <c r="AN60" s="8">
        <v>7</v>
      </c>
      <c r="AO60" s="8">
        <v>3</v>
      </c>
      <c r="AP60" s="8">
        <v>8</v>
      </c>
      <c r="AQ60" s="8">
        <v>0</v>
      </c>
      <c r="AR60" s="8">
        <f>66+34</f>
        <v>100</v>
      </c>
      <c r="AS60" s="8">
        <f t="shared" si="4"/>
        <v>133</v>
      </c>
      <c r="AT60" s="8">
        <v>0</v>
      </c>
      <c r="AU60" s="8">
        <v>0</v>
      </c>
      <c r="AV60" s="8">
        <v>0</v>
      </c>
      <c r="AW60" s="8">
        <v>0</v>
      </c>
      <c r="AX60" s="8">
        <v>133</v>
      </c>
    </row>
    <row r="61" spans="1:50" x14ac:dyDescent="0.35">
      <c r="A61" s="23" t="s">
        <v>104</v>
      </c>
      <c r="B61" s="17">
        <v>22247</v>
      </c>
      <c r="C61" s="34">
        <f>57+53</f>
        <v>110</v>
      </c>
      <c r="D61" s="34">
        <f>54+51</f>
        <v>105</v>
      </c>
      <c r="E61" s="35">
        <f>49+46</f>
        <v>95</v>
      </c>
      <c r="F61" s="35">
        <v>3</v>
      </c>
      <c r="G61" s="35">
        <v>2</v>
      </c>
      <c r="H61" s="35">
        <v>0</v>
      </c>
      <c r="I61" s="35">
        <v>2</v>
      </c>
      <c r="J61" s="35">
        <v>3</v>
      </c>
      <c r="K61" s="35">
        <v>0</v>
      </c>
      <c r="L61" s="35">
        <f t="shared" si="1"/>
        <v>105</v>
      </c>
      <c r="M61" s="35">
        <v>99</v>
      </c>
      <c r="N61" s="35">
        <v>6</v>
      </c>
      <c r="O61" s="35">
        <v>0</v>
      </c>
      <c r="P61" s="35">
        <f t="shared" si="2"/>
        <v>105</v>
      </c>
      <c r="Q61" s="35">
        <v>3</v>
      </c>
      <c r="R61" s="35">
        <v>7</v>
      </c>
      <c r="S61" s="35">
        <f>38+34</f>
        <v>72</v>
      </c>
      <c r="T61" s="35">
        <v>16</v>
      </c>
      <c r="U61" s="35">
        <v>3</v>
      </c>
      <c r="V61" s="35">
        <v>1</v>
      </c>
      <c r="W61" s="35">
        <v>3</v>
      </c>
      <c r="X61" s="35">
        <f t="shared" si="3"/>
        <v>105</v>
      </c>
      <c r="Y61" s="35">
        <f>61+42</f>
        <v>103</v>
      </c>
      <c r="Z61" s="35">
        <f>19+17</f>
        <v>36</v>
      </c>
      <c r="AA61" s="35">
        <v>17</v>
      </c>
      <c r="AB61" s="35">
        <v>7</v>
      </c>
      <c r="AC61" s="35">
        <f>51+46</f>
        <v>97</v>
      </c>
      <c r="AD61" s="35">
        <v>10</v>
      </c>
      <c r="AE61" s="35">
        <v>5</v>
      </c>
      <c r="AF61" s="35">
        <v>7</v>
      </c>
      <c r="AG61" s="35">
        <v>44</v>
      </c>
      <c r="AH61" s="35">
        <v>44</v>
      </c>
      <c r="AI61" s="35">
        <v>17</v>
      </c>
      <c r="AJ61" s="35">
        <v>8</v>
      </c>
      <c r="AK61" s="35">
        <f>3039+3086</f>
        <v>6125</v>
      </c>
      <c r="AL61" s="35">
        <v>41</v>
      </c>
      <c r="AM61" s="35">
        <v>23</v>
      </c>
      <c r="AN61" s="35">
        <v>15</v>
      </c>
      <c r="AO61" s="35">
        <v>13</v>
      </c>
      <c r="AP61" s="35">
        <v>7</v>
      </c>
      <c r="AQ61" s="35">
        <v>3</v>
      </c>
      <c r="AR61" s="35">
        <v>3</v>
      </c>
      <c r="AS61" s="35">
        <f t="shared" si="4"/>
        <v>105</v>
      </c>
      <c r="AT61" s="35">
        <v>25</v>
      </c>
      <c r="AU61" s="35">
        <v>24</v>
      </c>
      <c r="AV61" s="35">
        <f>29+24</f>
        <v>53</v>
      </c>
      <c r="AW61" s="35">
        <v>5</v>
      </c>
      <c r="AX61" s="35">
        <v>3</v>
      </c>
    </row>
    <row r="62" spans="1:50" x14ac:dyDescent="0.35">
      <c r="A62" s="23" t="s">
        <v>105</v>
      </c>
      <c r="B62" s="16">
        <v>23394</v>
      </c>
      <c r="C62" s="33">
        <v>20</v>
      </c>
      <c r="D62" s="33">
        <v>5</v>
      </c>
      <c r="E62" s="8">
        <v>3</v>
      </c>
      <c r="F62" s="8">
        <v>1</v>
      </c>
      <c r="G62" s="8">
        <v>1</v>
      </c>
      <c r="H62" s="8">
        <v>0</v>
      </c>
      <c r="I62" s="8">
        <v>0</v>
      </c>
      <c r="J62" s="8">
        <v>0</v>
      </c>
      <c r="K62" s="8">
        <v>0</v>
      </c>
      <c r="L62" s="8">
        <f t="shared" si="1"/>
        <v>5</v>
      </c>
      <c r="M62" s="8">
        <v>5</v>
      </c>
      <c r="N62" s="8">
        <v>0</v>
      </c>
      <c r="O62" s="8">
        <v>0</v>
      </c>
      <c r="P62" s="8">
        <f t="shared" si="2"/>
        <v>5</v>
      </c>
      <c r="Q62" s="8">
        <v>1</v>
      </c>
      <c r="R62" s="8">
        <v>3</v>
      </c>
      <c r="S62" s="8">
        <v>0</v>
      </c>
      <c r="T62" s="8">
        <v>1</v>
      </c>
      <c r="U62" s="8">
        <v>0</v>
      </c>
      <c r="V62" s="8">
        <v>0</v>
      </c>
      <c r="W62" s="8">
        <v>0</v>
      </c>
      <c r="X62" s="8">
        <f t="shared" si="3"/>
        <v>5</v>
      </c>
      <c r="Y62" s="8">
        <v>4</v>
      </c>
      <c r="Z62" s="8">
        <v>11</v>
      </c>
      <c r="AA62" s="8">
        <v>2</v>
      </c>
      <c r="AB62" s="8">
        <v>0</v>
      </c>
      <c r="AC62" s="8">
        <v>1</v>
      </c>
      <c r="AD62" s="8">
        <v>1</v>
      </c>
      <c r="AE62" s="8">
        <v>1</v>
      </c>
      <c r="AF62" s="8">
        <v>0</v>
      </c>
      <c r="AG62" s="8">
        <v>0</v>
      </c>
      <c r="AH62" s="8">
        <v>0</v>
      </c>
      <c r="AI62" s="8">
        <v>43</v>
      </c>
      <c r="AJ62" s="8">
        <v>16</v>
      </c>
      <c r="AK62" s="8">
        <f>156+156</f>
        <v>312</v>
      </c>
      <c r="AL62" s="8">
        <v>3</v>
      </c>
      <c r="AM62" s="8">
        <v>0</v>
      </c>
      <c r="AN62" s="8">
        <v>0</v>
      </c>
      <c r="AO62" s="8">
        <v>0</v>
      </c>
      <c r="AP62" s="8">
        <v>2</v>
      </c>
      <c r="AQ62" s="8">
        <v>0</v>
      </c>
      <c r="AR62" s="8">
        <v>0</v>
      </c>
      <c r="AS62" s="8">
        <f t="shared" si="4"/>
        <v>5</v>
      </c>
      <c r="AT62" s="8">
        <v>0</v>
      </c>
      <c r="AU62" s="8">
        <v>3</v>
      </c>
      <c r="AV62" s="8">
        <v>1</v>
      </c>
      <c r="AW62" s="8">
        <v>0</v>
      </c>
      <c r="AX62" s="8">
        <v>1</v>
      </c>
    </row>
    <row r="63" spans="1:50" x14ac:dyDescent="0.35">
      <c r="A63" s="23" t="s">
        <v>106</v>
      </c>
      <c r="B63" s="17">
        <v>46171</v>
      </c>
      <c r="C63" s="34">
        <f>38+43</f>
        <v>81</v>
      </c>
      <c r="D63" s="34">
        <f>68+71</f>
        <v>139</v>
      </c>
      <c r="E63" s="35">
        <f>59+65</f>
        <v>124</v>
      </c>
      <c r="F63" s="35">
        <v>9</v>
      </c>
      <c r="G63" s="35">
        <v>3</v>
      </c>
      <c r="H63" s="35">
        <v>1</v>
      </c>
      <c r="I63" s="35">
        <v>0</v>
      </c>
      <c r="J63" s="35">
        <v>2</v>
      </c>
      <c r="K63" s="35">
        <v>0</v>
      </c>
      <c r="L63" s="35">
        <f t="shared" si="1"/>
        <v>139</v>
      </c>
      <c r="M63" s="35">
        <f>66+69</f>
        <v>135</v>
      </c>
      <c r="N63" s="35">
        <v>4</v>
      </c>
      <c r="O63" s="35">
        <v>0</v>
      </c>
      <c r="P63" s="35">
        <f t="shared" si="2"/>
        <v>139</v>
      </c>
      <c r="Q63" s="35">
        <v>0</v>
      </c>
      <c r="R63" s="35">
        <v>0</v>
      </c>
      <c r="S63" s="35">
        <f>13+12</f>
        <v>25</v>
      </c>
      <c r="T63" s="35">
        <f>28+26</f>
        <v>54</v>
      </c>
      <c r="U63" s="35">
        <f>22+25</f>
        <v>47</v>
      </c>
      <c r="V63" s="35">
        <v>9</v>
      </c>
      <c r="W63" s="35">
        <v>4</v>
      </c>
      <c r="X63" s="35">
        <f t="shared" si="3"/>
        <v>139</v>
      </c>
      <c r="Y63" s="35">
        <f>69+85</f>
        <v>154</v>
      </c>
      <c r="Z63" s="35">
        <v>3</v>
      </c>
      <c r="AA63" s="35">
        <f>65+69</f>
        <v>134</v>
      </c>
      <c r="AB63" s="35">
        <v>2</v>
      </c>
      <c r="AC63" s="35">
        <f>32+48</f>
        <v>80</v>
      </c>
      <c r="AD63" s="35">
        <v>0</v>
      </c>
      <c r="AE63" s="35">
        <f>25+27</f>
        <v>52</v>
      </c>
      <c r="AF63" s="35">
        <v>0</v>
      </c>
      <c r="AG63" s="35">
        <f>9+65</f>
        <v>74</v>
      </c>
      <c r="AH63" s="35">
        <v>31</v>
      </c>
      <c r="AI63" s="35">
        <v>93</v>
      </c>
      <c r="AJ63" s="35">
        <v>6</v>
      </c>
      <c r="AK63" s="35">
        <f>246+140</f>
        <v>386</v>
      </c>
      <c r="AL63" s="35">
        <f>22+28</f>
        <v>50</v>
      </c>
      <c r="AM63" s="35">
        <v>1</v>
      </c>
      <c r="AN63" s="35">
        <v>67</v>
      </c>
      <c r="AO63" s="35">
        <v>14</v>
      </c>
      <c r="AP63" s="35">
        <v>0</v>
      </c>
      <c r="AQ63" s="35">
        <v>0</v>
      </c>
      <c r="AR63" s="35">
        <v>7</v>
      </c>
      <c r="AS63" s="35">
        <f t="shared" si="4"/>
        <v>139</v>
      </c>
      <c r="AT63" s="35">
        <f>31+38</f>
        <v>69</v>
      </c>
      <c r="AU63" s="35">
        <v>26</v>
      </c>
      <c r="AV63" s="35">
        <v>30</v>
      </c>
      <c r="AW63" s="35">
        <v>9</v>
      </c>
      <c r="AX63" s="35">
        <v>5</v>
      </c>
    </row>
    <row r="64" spans="1:50" x14ac:dyDescent="0.35">
      <c r="A64" s="23" t="s">
        <v>177</v>
      </c>
      <c r="B64" s="20">
        <v>1074596</v>
      </c>
      <c r="C64" s="33">
        <f>159+507</f>
        <v>666</v>
      </c>
      <c r="D64" s="33">
        <f>387+276</f>
        <v>663</v>
      </c>
      <c r="E64" s="8">
        <f>112+92</f>
        <v>204</v>
      </c>
      <c r="F64" s="8">
        <f>104+91</f>
        <v>195</v>
      </c>
      <c r="G64" s="8">
        <f>62+51</f>
        <v>113</v>
      </c>
      <c r="H64" s="8">
        <v>8</v>
      </c>
      <c r="I64" s="8">
        <v>16</v>
      </c>
      <c r="J64" s="8">
        <f>83+14</f>
        <v>97</v>
      </c>
      <c r="K64" s="8">
        <v>30</v>
      </c>
      <c r="L64" s="8">
        <f t="shared" si="1"/>
        <v>663</v>
      </c>
      <c r="M64" s="8">
        <f>343+254</f>
        <v>597</v>
      </c>
      <c r="N64" s="8">
        <f>44+22</f>
        <v>66</v>
      </c>
      <c r="O64" s="8">
        <v>0</v>
      </c>
      <c r="P64" s="8">
        <f t="shared" si="2"/>
        <v>663</v>
      </c>
      <c r="Q64" s="8">
        <v>14</v>
      </c>
      <c r="R64" s="8">
        <f>32+19</f>
        <v>51</v>
      </c>
      <c r="S64" s="8">
        <f>85+75</f>
        <v>160</v>
      </c>
      <c r="T64" s="8">
        <f>116+108</f>
        <v>224</v>
      </c>
      <c r="U64" s="8">
        <f>67+59</f>
        <v>126</v>
      </c>
      <c r="V64" s="8">
        <v>21</v>
      </c>
      <c r="W64" s="8">
        <v>67</v>
      </c>
      <c r="X64" s="8">
        <f t="shared" si="3"/>
        <v>663</v>
      </c>
      <c r="Y64" s="8">
        <f>850+565</f>
        <v>1415</v>
      </c>
      <c r="Z64" s="8">
        <f>803+564</f>
        <v>1367</v>
      </c>
      <c r="AA64" s="8">
        <f>365+290</f>
        <v>655</v>
      </c>
      <c r="AB64" s="8">
        <v>12</v>
      </c>
      <c r="AC64" s="8">
        <f>681+538</f>
        <v>1219</v>
      </c>
      <c r="AD64" s="8">
        <f>78+75</f>
        <v>153</v>
      </c>
      <c r="AE64" s="8">
        <v>1</v>
      </c>
      <c r="AF64" s="8">
        <v>13</v>
      </c>
      <c r="AG64" s="8">
        <v>47</v>
      </c>
      <c r="AH64" s="8">
        <v>0</v>
      </c>
      <c r="AI64" s="8">
        <f>12+23</f>
        <v>35</v>
      </c>
      <c r="AJ64" s="8">
        <v>6</v>
      </c>
      <c r="AK64" s="8">
        <f>153+65</f>
        <v>218</v>
      </c>
      <c r="AL64" s="8">
        <f>262+184</f>
        <v>446</v>
      </c>
      <c r="AM64" s="8">
        <v>8</v>
      </c>
      <c r="AN64" s="8">
        <v>20</v>
      </c>
      <c r="AO64" s="8">
        <v>8</v>
      </c>
      <c r="AP64" s="8">
        <f>76+49</f>
        <v>125</v>
      </c>
      <c r="AQ64" s="8">
        <v>2</v>
      </c>
      <c r="AR64" s="8">
        <f>28+26</f>
        <v>54</v>
      </c>
      <c r="AS64" s="8">
        <f t="shared" si="4"/>
        <v>663</v>
      </c>
      <c r="AT64" s="8">
        <f>64+39</f>
        <v>103</v>
      </c>
      <c r="AU64" s="8">
        <f>141+91</f>
        <v>232</v>
      </c>
      <c r="AV64" s="8">
        <f>45+21</f>
        <v>66</v>
      </c>
      <c r="AW64" s="8">
        <f>41+35</f>
        <v>76</v>
      </c>
      <c r="AX64" s="8">
        <f>84+90</f>
        <v>174</v>
      </c>
    </row>
    <row r="65" spans="1:50" x14ac:dyDescent="0.35">
      <c r="A65" s="23" t="s">
        <v>109</v>
      </c>
      <c r="B65" s="16">
        <v>15244</v>
      </c>
      <c r="C65" s="34">
        <f>71+42</f>
        <v>113</v>
      </c>
      <c r="D65" s="34">
        <f>44+19</f>
        <v>63</v>
      </c>
      <c r="E65" s="35">
        <f>39+13</f>
        <v>52</v>
      </c>
      <c r="F65" s="35">
        <v>2</v>
      </c>
      <c r="G65" s="35">
        <v>9</v>
      </c>
      <c r="H65" s="35">
        <v>0</v>
      </c>
      <c r="I65" s="35">
        <v>0</v>
      </c>
      <c r="J65" s="35">
        <v>0</v>
      </c>
      <c r="K65" s="35">
        <v>0</v>
      </c>
      <c r="L65" s="35">
        <f t="shared" si="1"/>
        <v>63</v>
      </c>
      <c r="M65" s="35">
        <v>59</v>
      </c>
      <c r="N65" s="35">
        <v>4</v>
      </c>
      <c r="O65" s="35">
        <v>0</v>
      </c>
      <c r="P65" s="35">
        <f t="shared" si="2"/>
        <v>63</v>
      </c>
      <c r="Q65" s="35">
        <v>0</v>
      </c>
      <c r="R65" s="35">
        <v>4</v>
      </c>
      <c r="S65" s="35">
        <v>33</v>
      </c>
      <c r="T65" s="35">
        <v>25</v>
      </c>
      <c r="U65" s="35">
        <v>1</v>
      </c>
      <c r="V65" s="35">
        <v>0</v>
      </c>
      <c r="W65" s="35">
        <v>0</v>
      </c>
      <c r="X65" s="35">
        <f t="shared" si="3"/>
        <v>63</v>
      </c>
      <c r="Y65" s="35">
        <f>702+458</f>
        <v>1160</v>
      </c>
      <c r="Z65" s="35">
        <f>199+93</f>
        <v>292</v>
      </c>
      <c r="AA65" s="35">
        <f>361+12</f>
        <v>373</v>
      </c>
      <c r="AB65" s="35">
        <v>6</v>
      </c>
      <c r="AC65" s="35">
        <v>31</v>
      </c>
      <c r="AD65" s="35">
        <v>15</v>
      </c>
      <c r="AE65" s="35">
        <v>10</v>
      </c>
      <c r="AF65" s="35">
        <v>0</v>
      </c>
      <c r="AG65" s="35">
        <v>24</v>
      </c>
      <c r="AH65" s="35">
        <v>0</v>
      </c>
      <c r="AI65" s="35">
        <v>71</v>
      </c>
      <c r="AJ65" s="35">
        <v>5</v>
      </c>
      <c r="AK65" s="35">
        <f>581+563</f>
        <v>1144</v>
      </c>
      <c r="AL65" s="35">
        <v>13</v>
      </c>
      <c r="AM65" s="35">
        <v>15</v>
      </c>
      <c r="AN65" s="35">
        <v>17</v>
      </c>
      <c r="AO65" s="35">
        <v>16</v>
      </c>
      <c r="AP65" s="35">
        <v>0</v>
      </c>
      <c r="AQ65" s="35">
        <v>2</v>
      </c>
      <c r="AR65" s="35">
        <v>0</v>
      </c>
      <c r="AS65" s="35">
        <f t="shared" si="4"/>
        <v>63</v>
      </c>
      <c r="AT65" s="35">
        <f>23+6</f>
        <v>29</v>
      </c>
      <c r="AU65" s="35">
        <f>41+13</f>
        <v>54</v>
      </c>
      <c r="AV65" s="35">
        <f>19+23</f>
        <v>42</v>
      </c>
      <c r="AW65" s="35">
        <v>2</v>
      </c>
      <c r="AX65" s="35">
        <v>0</v>
      </c>
    </row>
    <row r="66" spans="1:50" x14ac:dyDescent="0.35">
      <c r="A66" s="23" t="s">
        <v>178</v>
      </c>
      <c r="B66" s="17">
        <v>27845</v>
      </c>
      <c r="C66" s="33">
        <v>1</v>
      </c>
      <c r="D66" s="33">
        <v>8</v>
      </c>
      <c r="E66" s="8">
        <v>8</v>
      </c>
      <c r="F66" s="8">
        <v>0</v>
      </c>
      <c r="G66" s="8">
        <v>0</v>
      </c>
      <c r="H66" s="8">
        <v>0</v>
      </c>
      <c r="I66" s="8">
        <v>0</v>
      </c>
      <c r="J66" s="8">
        <v>0</v>
      </c>
      <c r="K66" s="8">
        <v>0</v>
      </c>
      <c r="L66" s="8">
        <f t="shared" si="1"/>
        <v>8</v>
      </c>
      <c r="M66" s="8">
        <v>7</v>
      </c>
      <c r="N66" s="8">
        <v>1</v>
      </c>
      <c r="O66" s="8">
        <v>0</v>
      </c>
      <c r="P66" s="8">
        <f t="shared" si="2"/>
        <v>8</v>
      </c>
      <c r="Q66" s="8">
        <v>1</v>
      </c>
      <c r="R66" s="8">
        <v>1</v>
      </c>
      <c r="S66" s="8">
        <v>2</v>
      </c>
      <c r="T66" s="8">
        <v>3</v>
      </c>
      <c r="U66" s="8">
        <v>1</v>
      </c>
      <c r="V66" s="8">
        <v>0</v>
      </c>
      <c r="W66" s="8">
        <v>0</v>
      </c>
      <c r="X66" s="8">
        <f t="shared" si="3"/>
        <v>8</v>
      </c>
      <c r="Y66" s="8">
        <v>12</v>
      </c>
      <c r="Z66" s="8">
        <v>12</v>
      </c>
      <c r="AA66" s="8">
        <v>6</v>
      </c>
      <c r="AB66" s="8">
        <v>0</v>
      </c>
      <c r="AC66" s="8">
        <v>2</v>
      </c>
      <c r="AD66" s="8">
        <v>0</v>
      </c>
      <c r="AE66" s="8">
        <v>3</v>
      </c>
      <c r="AF66" s="8">
        <v>0</v>
      </c>
      <c r="AG66" s="8">
        <v>0</v>
      </c>
      <c r="AH66" s="8">
        <v>0</v>
      </c>
      <c r="AI66" s="8">
        <v>14</v>
      </c>
      <c r="AJ66" s="8">
        <v>2</v>
      </c>
      <c r="AK66" s="8">
        <v>15</v>
      </c>
      <c r="AL66" s="8">
        <v>0</v>
      </c>
      <c r="AM66" s="8">
        <v>0</v>
      </c>
      <c r="AN66" s="8">
        <v>0</v>
      </c>
      <c r="AO66" s="8">
        <v>1</v>
      </c>
      <c r="AP66" s="8">
        <v>2</v>
      </c>
      <c r="AQ66" s="8">
        <v>1</v>
      </c>
      <c r="AR66" s="8">
        <v>4</v>
      </c>
      <c r="AS66" s="8">
        <f t="shared" si="4"/>
        <v>8</v>
      </c>
      <c r="AT66" s="8">
        <v>1</v>
      </c>
      <c r="AU66" s="8">
        <v>2</v>
      </c>
      <c r="AV66" s="8">
        <v>0</v>
      </c>
      <c r="AW66" s="8">
        <v>1</v>
      </c>
      <c r="AX66" s="8">
        <v>4</v>
      </c>
    </row>
    <row r="67" spans="1:50" x14ac:dyDescent="0.35">
      <c r="A67" s="23" t="s">
        <v>111</v>
      </c>
      <c r="B67" s="16">
        <v>97554</v>
      </c>
      <c r="C67" s="34">
        <v>33</v>
      </c>
      <c r="D67" s="34">
        <v>34</v>
      </c>
      <c r="E67" s="35">
        <f>5+17</f>
        <v>22</v>
      </c>
      <c r="F67" s="35">
        <v>3</v>
      </c>
      <c r="G67" s="35">
        <v>2</v>
      </c>
      <c r="H67" s="35">
        <v>2</v>
      </c>
      <c r="I67" s="35">
        <v>1</v>
      </c>
      <c r="J67" s="35">
        <v>3</v>
      </c>
      <c r="K67" s="35">
        <v>1</v>
      </c>
      <c r="L67" s="35">
        <f t="shared" si="1"/>
        <v>34</v>
      </c>
      <c r="M67" s="35">
        <v>33</v>
      </c>
      <c r="N67" s="35">
        <v>1</v>
      </c>
      <c r="O67" s="35">
        <v>0</v>
      </c>
      <c r="P67" s="35">
        <f t="shared" si="2"/>
        <v>34</v>
      </c>
      <c r="Q67" s="35">
        <v>2</v>
      </c>
      <c r="R67" s="35">
        <v>3</v>
      </c>
      <c r="S67" s="35">
        <v>7</v>
      </c>
      <c r="T67" s="35">
        <v>11</v>
      </c>
      <c r="U67" s="35">
        <v>7</v>
      </c>
      <c r="V67" s="35">
        <v>0</v>
      </c>
      <c r="W67" s="35">
        <v>4</v>
      </c>
      <c r="X67" s="35">
        <f t="shared" si="3"/>
        <v>34</v>
      </c>
      <c r="Y67" s="35">
        <f>22+39</f>
        <v>61</v>
      </c>
      <c r="Z67" s="35">
        <f>11+29</f>
        <v>40</v>
      </c>
      <c r="AA67" s="35">
        <f>22+37</f>
        <v>59</v>
      </c>
      <c r="AB67" s="35">
        <v>27</v>
      </c>
      <c r="AC67" s="35">
        <f>15+25</f>
        <v>40</v>
      </c>
      <c r="AD67" s="35">
        <v>6</v>
      </c>
      <c r="AE67" s="35">
        <f>18+8</f>
        <v>26</v>
      </c>
      <c r="AF67" s="35">
        <v>5</v>
      </c>
      <c r="AG67" s="35">
        <f>340+340</f>
        <v>680</v>
      </c>
      <c r="AH67" s="35">
        <v>0</v>
      </c>
      <c r="AI67" s="35">
        <v>36</v>
      </c>
      <c r="AJ67" s="35">
        <v>17</v>
      </c>
      <c r="AK67" s="35">
        <f>4516+4516</f>
        <v>9032</v>
      </c>
      <c r="AL67" s="35">
        <v>11</v>
      </c>
      <c r="AM67" s="35">
        <v>0</v>
      </c>
      <c r="AN67" s="35">
        <v>1</v>
      </c>
      <c r="AO67" s="35">
        <v>2</v>
      </c>
      <c r="AP67" s="35">
        <v>2</v>
      </c>
      <c r="AQ67" s="35">
        <v>0</v>
      </c>
      <c r="AR67" s="35">
        <v>18</v>
      </c>
      <c r="AS67" s="35">
        <f t="shared" si="4"/>
        <v>34</v>
      </c>
      <c r="AT67" s="35">
        <v>8</v>
      </c>
      <c r="AU67" s="35">
        <v>5</v>
      </c>
      <c r="AV67" s="35">
        <v>3</v>
      </c>
      <c r="AW67" s="35">
        <v>1</v>
      </c>
      <c r="AX67" s="35">
        <v>17</v>
      </c>
    </row>
    <row r="68" spans="1:50" x14ac:dyDescent="0.35">
      <c r="A68" s="23" t="s">
        <v>112</v>
      </c>
      <c r="B68" s="17">
        <v>95063</v>
      </c>
      <c r="C68" s="33">
        <v>20</v>
      </c>
      <c r="D68" s="33">
        <v>47</v>
      </c>
      <c r="E68" s="8">
        <v>25</v>
      </c>
      <c r="F68" s="8">
        <v>13</v>
      </c>
      <c r="G68" s="8">
        <v>8</v>
      </c>
      <c r="H68" s="8">
        <v>0</v>
      </c>
      <c r="I68" s="8">
        <v>0</v>
      </c>
      <c r="J68" s="8">
        <v>0</v>
      </c>
      <c r="K68" s="8">
        <v>1</v>
      </c>
      <c r="L68" s="8">
        <f t="shared" ref="L68:L105" si="5">SUM(E68:K68)</f>
        <v>47</v>
      </c>
      <c r="M68" s="8">
        <v>45</v>
      </c>
      <c r="N68" s="8">
        <v>2</v>
      </c>
      <c r="O68" s="8">
        <v>0</v>
      </c>
      <c r="P68" s="8">
        <f t="shared" ref="P68:P105" si="6">SUM(M68:O68)</f>
        <v>47</v>
      </c>
      <c r="Q68" s="8">
        <v>10</v>
      </c>
      <c r="R68" s="8">
        <v>3</v>
      </c>
      <c r="S68" s="8">
        <v>5</v>
      </c>
      <c r="T68" s="8">
        <v>19</v>
      </c>
      <c r="U68" s="8">
        <v>8</v>
      </c>
      <c r="V68" s="8">
        <v>2</v>
      </c>
      <c r="W68" s="8">
        <v>0</v>
      </c>
      <c r="X68" s="8">
        <f t="shared" ref="X68:X105" si="7">SUM(Q68:W68)</f>
        <v>47</v>
      </c>
      <c r="Y68" s="8">
        <f>63+90</f>
        <v>153</v>
      </c>
      <c r="Z68" s="8">
        <f>77+63</f>
        <v>140</v>
      </c>
      <c r="AA68" s="8">
        <f>69+77</f>
        <v>146</v>
      </c>
      <c r="AB68" s="8">
        <v>0</v>
      </c>
      <c r="AC68" s="8">
        <v>26</v>
      </c>
      <c r="AD68" s="8">
        <v>1</v>
      </c>
      <c r="AE68" s="8">
        <v>33</v>
      </c>
      <c r="AF68" s="8">
        <v>0</v>
      </c>
      <c r="AG68" s="8">
        <v>47</v>
      </c>
      <c r="AH68" s="8">
        <v>13</v>
      </c>
      <c r="AI68" s="8">
        <f>19+29</f>
        <v>48</v>
      </c>
      <c r="AJ68" s="8">
        <v>9</v>
      </c>
      <c r="AK68" s="8">
        <f>2790+3428</f>
        <v>6218</v>
      </c>
      <c r="AL68" s="8">
        <v>18</v>
      </c>
      <c r="AM68" s="8">
        <v>0</v>
      </c>
      <c r="AN68" s="8">
        <v>8</v>
      </c>
      <c r="AO68" s="8">
        <v>0</v>
      </c>
      <c r="AP68" s="8">
        <v>3</v>
      </c>
      <c r="AQ68" s="8">
        <v>8</v>
      </c>
      <c r="AR68" s="8">
        <v>10</v>
      </c>
      <c r="AS68" s="8">
        <f t="shared" ref="AS68:AS105" si="8">SUM(AL68:AR68)</f>
        <v>47</v>
      </c>
      <c r="AT68" s="8">
        <v>30</v>
      </c>
      <c r="AU68" s="8">
        <v>8</v>
      </c>
      <c r="AV68" s="8">
        <v>9</v>
      </c>
      <c r="AW68" s="8">
        <v>0</v>
      </c>
      <c r="AX68" s="8">
        <v>0</v>
      </c>
    </row>
    <row r="69" spans="1:50" x14ac:dyDescent="0.35">
      <c r="A69" s="23" t="s">
        <v>113</v>
      </c>
      <c r="B69" s="16">
        <v>229501</v>
      </c>
      <c r="C69" s="34">
        <f>442+698</f>
        <v>1140</v>
      </c>
      <c r="D69" s="34">
        <f>149+272</f>
        <v>421</v>
      </c>
      <c r="E69" s="35">
        <f>84+151</f>
        <v>235</v>
      </c>
      <c r="F69" s="35">
        <f>19+41</f>
        <v>60</v>
      </c>
      <c r="G69" s="35">
        <v>38</v>
      </c>
      <c r="H69" s="35">
        <v>2</v>
      </c>
      <c r="I69" s="35">
        <v>1</v>
      </c>
      <c r="J69" s="35">
        <f>33+41</f>
        <v>74</v>
      </c>
      <c r="K69" s="35">
        <v>11</v>
      </c>
      <c r="L69" s="35">
        <f t="shared" si="5"/>
        <v>421</v>
      </c>
      <c r="M69" s="35">
        <f>130+232</f>
        <v>362</v>
      </c>
      <c r="N69" s="35">
        <v>59</v>
      </c>
      <c r="O69" s="35">
        <v>0</v>
      </c>
      <c r="P69" s="35">
        <f t="shared" si="6"/>
        <v>421</v>
      </c>
      <c r="Q69" s="35">
        <v>26</v>
      </c>
      <c r="R69" s="35">
        <v>31</v>
      </c>
      <c r="S69" s="35">
        <f>21+38</f>
        <v>59</v>
      </c>
      <c r="T69" s="35">
        <f>44+91</f>
        <v>135</v>
      </c>
      <c r="U69" s="35">
        <f>23+49</f>
        <v>72</v>
      </c>
      <c r="V69" s="35">
        <v>14</v>
      </c>
      <c r="W69" s="35">
        <f>35+49</f>
        <v>84</v>
      </c>
      <c r="X69" s="35">
        <f t="shared" si="7"/>
        <v>421</v>
      </c>
      <c r="Y69" s="35">
        <f>86+249</f>
        <v>335</v>
      </c>
      <c r="Z69" s="35">
        <f>161+340</f>
        <v>501</v>
      </c>
      <c r="AA69" s="35">
        <f>9+27</f>
        <v>36</v>
      </c>
      <c r="AB69" s="35">
        <f>83+44</f>
        <v>127</v>
      </c>
      <c r="AC69" s="35">
        <f>348+541</f>
        <v>889</v>
      </c>
      <c r="AD69" s="35">
        <f>57+69</f>
        <v>126</v>
      </c>
      <c r="AE69" s="35">
        <v>39</v>
      </c>
      <c r="AF69" s="35">
        <v>0</v>
      </c>
      <c r="AG69" s="35">
        <v>22</v>
      </c>
      <c r="AH69" s="35">
        <v>28</v>
      </c>
      <c r="AI69" s="35">
        <f>67+29</f>
        <v>96</v>
      </c>
      <c r="AJ69" s="35">
        <v>19</v>
      </c>
      <c r="AK69" s="35">
        <f>1052+2249</f>
        <v>3301</v>
      </c>
      <c r="AL69" s="35">
        <f>93+160</f>
        <v>253</v>
      </c>
      <c r="AM69" s="35">
        <v>0</v>
      </c>
      <c r="AN69" s="35">
        <v>36</v>
      </c>
      <c r="AO69" s="35">
        <v>0</v>
      </c>
      <c r="AP69" s="35">
        <f>43+86</f>
        <v>129</v>
      </c>
      <c r="AQ69" s="35">
        <v>0</v>
      </c>
      <c r="AR69" s="35">
        <v>3</v>
      </c>
      <c r="AS69" s="35">
        <f t="shared" si="8"/>
        <v>421</v>
      </c>
      <c r="AT69" s="35">
        <f>24+51</f>
        <v>75</v>
      </c>
      <c r="AU69" s="35">
        <f>38+70</f>
        <v>108</v>
      </c>
      <c r="AV69" s="35">
        <v>35</v>
      </c>
      <c r="AW69" s="35">
        <f>26+39</f>
        <v>65</v>
      </c>
      <c r="AX69" s="35">
        <f>46+92</f>
        <v>138</v>
      </c>
    </row>
    <row r="70" spans="1:50" x14ac:dyDescent="0.35">
      <c r="A70" s="23" t="s">
        <v>114</v>
      </c>
      <c r="B70" s="17">
        <v>20908</v>
      </c>
      <c r="C70" s="33">
        <f>71+32</f>
        <v>103</v>
      </c>
      <c r="D70" s="33">
        <v>76</v>
      </c>
      <c r="E70" s="8">
        <v>18</v>
      </c>
      <c r="F70" s="8">
        <v>58</v>
      </c>
      <c r="G70" s="8">
        <v>0</v>
      </c>
      <c r="H70" s="8">
        <v>0</v>
      </c>
      <c r="I70" s="8">
        <v>0</v>
      </c>
      <c r="J70" s="8">
        <v>0</v>
      </c>
      <c r="K70" s="8">
        <v>0</v>
      </c>
      <c r="L70" s="8">
        <f t="shared" si="5"/>
        <v>76</v>
      </c>
      <c r="M70" s="8">
        <v>76</v>
      </c>
      <c r="N70" s="8">
        <v>0</v>
      </c>
      <c r="O70" s="8">
        <v>0</v>
      </c>
      <c r="P70" s="8">
        <f t="shared" si="6"/>
        <v>76</v>
      </c>
      <c r="Q70" s="8">
        <v>1</v>
      </c>
      <c r="R70" s="8">
        <v>6</v>
      </c>
      <c r="S70" s="8">
        <v>41</v>
      </c>
      <c r="T70" s="8">
        <v>24</v>
      </c>
      <c r="U70" s="8">
        <v>4</v>
      </c>
      <c r="V70" s="8">
        <v>0</v>
      </c>
      <c r="W70" s="8">
        <v>0</v>
      </c>
      <c r="X70" s="8">
        <f t="shared" si="7"/>
        <v>76</v>
      </c>
      <c r="Y70" s="8">
        <f>141+65</f>
        <v>206</v>
      </c>
      <c r="Z70" s="8">
        <f>51+13</f>
        <v>64</v>
      </c>
      <c r="AA70" s="8">
        <f>28+8</f>
        <v>36</v>
      </c>
      <c r="AB70" s="8">
        <v>14</v>
      </c>
      <c r="AC70" s="8">
        <v>6</v>
      </c>
      <c r="AD70" s="8">
        <v>15</v>
      </c>
      <c r="AE70" s="8">
        <v>51</v>
      </c>
      <c r="AF70" s="8">
        <v>0</v>
      </c>
      <c r="AG70" s="8">
        <v>1</v>
      </c>
      <c r="AH70" s="8">
        <v>0</v>
      </c>
      <c r="AI70" s="8">
        <v>8</v>
      </c>
      <c r="AJ70" s="8">
        <v>2</v>
      </c>
      <c r="AK70" s="8">
        <f>1496+1496</f>
        <v>2992</v>
      </c>
      <c r="AL70" s="8">
        <v>34</v>
      </c>
      <c r="AM70" s="8">
        <v>25</v>
      </c>
      <c r="AN70" s="8">
        <v>0</v>
      </c>
      <c r="AO70" s="8">
        <v>14</v>
      </c>
      <c r="AP70" s="8">
        <v>0</v>
      </c>
      <c r="AQ70" s="8">
        <v>3</v>
      </c>
      <c r="AR70" s="8">
        <v>0</v>
      </c>
      <c r="AS70" s="8">
        <f t="shared" si="8"/>
        <v>76</v>
      </c>
      <c r="AT70" s="8">
        <f>22+3</f>
        <v>25</v>
      </c>
      <c r="AU70" s="8">
        <v>18</v>
      </c>
      <c r="AV70" s="8">
        <v>25</v>
      </c>
      <c r="AW70" s="8">
        <v>7</v>
      </c>
      <c r="AX70" s="8">
        <v>1</v>
      </c>
    </row>
    <row r="71" spans="1:50" x14ac:dyDescent="0.35">
      <c r="A71" s="23" t="s">
        <v>115</v>
      </c>
      <c r="B71" s="18">
        <v>196793</v>
      </c>
      <c r="C71" s="34">
        <f>31+88</f>
        <v>119</v>
      </c>
      <c r="D71" s="34">
        <f>31+23</f>
        <v>54</v>
      </c>
      <c r="E71" s="35">
        <f>15+13</f>
        <v>28</v>
      </c>
      <c r="F71" s="35">
        <v>4</v>
      </c>
      <c r="G71" s="35">
        <v>8</v>
      </c>
      <c r="H71" s="35">
        <v>0</v>
      </c>
      <c r="I71" s="35">
        <v>0</v>
      </c>
      <c r="J71" s="35">
        <v>8</v>
      </c>
      <c r="K71" s="35">
        <v>6</v>
      </c>
      <c r="L71" s="35">
        <f t="shared" si="5"/>
        <v>54</v>
      </c>
      <c r="M71" s="35">
        <v>52</v>
      </c>
      <c r="N71" s="35">
        <v>2</v>
      </c>
      <c r="O71" s="35">
        <v>0</v>
      </c>
      <c r="P71" s="35">
        <f t="shared" si="6"/>
        <v>54</v>
      </c>
      <c r="Q71" s="35">
        <v>0</v>
      </c>
      <c r="R71" s="35">
        <v>3</v>
      </c>
      <c r="S71" s="35">
        <v>19</v>
      </c>
      <c r="T71" s="35">
        <v>18</v>
      </c>
      <c r="U71" s="35">
        <v>1</v>
      </c>
      <c r="V71" s="35">
        <v>4</v>
      </c>
      <c r="W71" s="35">
        <v>9</v>
      </c>
      <c r="X71" s="35">
        <f t="shared" si="7"/>
        <v>54</v>
      </c>
      <c r="Y71" s="35">
        <f>65+239</f>
        <v>304</v>
      </c>
      <c r="Z71" s="35">
        <f>31+23</f>
        <v>54</v>
      </c>
      <c r="AA71" s="35">
        <v>26</v>
      </c>
      <c r="AB71" s="35">
        <v>14</v>
      </c>
      <c r="AC71" s="35">
        <v>30</v>
      </c>
      <c r="AD71" s="35">
        <v>21</v>
      </c>
      <c r="AE71" s="35">
        <v>0</v>
      </c>
      <c r="AF71" s="35">
        <v>0</v>
      </c>
      <c r="AG71" s="35">
        <v>0</v>
      </c>
      <c r="AH71" s="35">
        <v>0</v>
      </c>
      <c r="AI71" s="35">
        <v>19</v>
      </c>
      <c r="AJ71" s="35">
        <v>17</v>
      </c>
      <c r="AK71" s="35">
        <f>56+58</f>
        <v>114</v>
      </c>
      <c r="AL71" s="35">
        <v>46</v>
      </c>
      <c r="AM71" s="35">
        <v>2</v>
      </c>
      <c r="AN71" s="35">
        <v>2</v>
      </c>
      <c r="AO71" s="35">
        <v>2</v>
      </c>
      <c r="AP71" s="35">
        <v>2</v>
      </c>
      <c r="AQ71" s="35">
        <v>0</v>
      </c>
      <c r="AR71" s="35">
        <v>0</v>
      </c>
      <c r="AS71" s="35">
        <f t="shared" si="8"/>
        <v>54</v>
      </c>
      <c r="AT71" s="35">
        <v>2</v>
      </c>
      <c r="AU71" s="35">
        <f>19+22</f>
        <v>41</v>
      </c>
      <c r="AV71" s="35">
        <v>2</v>
      </c>
      <c r="AW71" s="35">
        <v>2</v>
      </c>
      <c r="AX71" s="35">
        <v>7</v>
      </c>
    </row>
    <row r="72" spans="1:50" x14ac:dyDescent="0.35">
      <c r="A72" s="23" t="s">
        <v>116</v>
      </c>
      <c r="B72" s="17">
        <v>142830</v>
      </c>
      <c r="C72" s="33">
        <f>769+1401</f>
        <v>2170</v>
      </c>
      <c r="D72" s="33">
        <f>53+72</f>
        <v>125</v>
      </c>
      <c r="E72" s="8">
        <f>24+21</f>
        <v>45</v>
      </c>
      <c r="F72" s="8">
        <v>9</v>
      </c>
      <c r="G72" s="8">
        <v>31</v>
      </c>
      <c r="H72" s="8">
        <v>1</v>
      </c>
      <c r="I72" s="8">
        <v>5</v>
      </c>
      <c r="J72" s="8">
        <v>31</v>
      </c>
      <c r="K72" s="8">
        <v>3</v>
      </c>
      <c r="L72" s="8">
        <f t="shared" si="5"/>
        <v>125</v>
      </c>
      <c r="M72" s="8">
        <f>45+57</f>
        <v>102</v>
      </c>
      <c r="N72" s="8">
        <v>12</v>
      </c>
      <c r="O72" s="8">
        <v>11</v>
      </c>
      <c r="P72" s="8">
        <f t="shared" si="6"/>
        <v>125</v>
      </c>
      <c r="Q72" s="8">
        <v>1</v>
      </c>
      <c r="R72" s="8">
        <v>6</v>
      </c>
      <c r="S72" s="8">
        <v>28</v>
      </c>
      <c r="T72" s="8">
        <v>19</v>
      </c>
      <c r="U72" s="8">
        <v>27</v>
      </c>
      <c r="V72" s="8">
        <v>3</v>
      </c>
      <c r="W72" s="8">
        <f>16+25</f>
        <v>41</v>
      </c>
      <c r="X72" s="8">
        <f t="shared" si="7"/>
        <v>125</v>
      </c>
      <c r="Y72" s="8">
        <f>89+77</f>
        <v>166</v>
      </c>
      <c r="Z72" s="8">
        <f>66+132</f>
        <v>198</v>
      </c>
      <c r="AA72" s="8">
        <f>71+60</f>
        <v>131</v>
      </c>
      <c r="AB72" s="8">
        <v>7</v>
      </c>
      <c r="AC72" s="8">
        <f>59+71</f>
        <v>130</v>
      </c>
      <c r="AD72" s="8">
        <v>47</v>
      </c>
      <c r="AE72" s="8">
        <v>38</v>
      </c>
      <c r="AF72" s="8">
        <v>0</v>
      </c>
      <c r="AG72" s="8">
        <f>75+41</f>
        <v>116</v>
      </c>
      <c r="AH72" s="8">
        <v>0</v>
      </c>
      <c r="AI72" s="8">
        <f>391+477</f>
        <v>868</v>
      </c>
      <c r="AJ72" s="8">
        <f>21+25</f>
        <v>46</v>
      </c>
      <c r="AK72" s="8">
        <f>3613+3012</f>
        <v>6625</v>
      </c>
      <c r="AL72" s="8">
        <f>22+32</f>
        <v>54</v>
      </c>
      <c r="AM72" s="8">
        <v>1</v>
      </c>
      <c r="AN72" s="8">
        <v>7</v>
      </c>
      <c r="AO72" s="8">
        <v>17</v>
      </c>
      <c r="AP72" s="8">
        <v>13</v>
      </c>
      <c r="AQ72" s="8">
        <v>3</v>
      </c>
      <c r="AR72" s="8">
        <v>30</v>
      </c>
      <c r="AS72" s="8">
        <f t="shared" si="8"/>
        <v>125</v>
      </c>
      <c r="AT72" s="8">
        <v>13</v>
      </c>
      <c r="AU72" s="8">
        <f>18+16</f>
        <v>34</v>
      </c>
      <c r="AV72" s="8">
        <v>6</v>
      </c>
      <c r="AW72" s="8">
        <v>9</v>
      </c>
      <c r="AX72" s="8">
        <f>18+31</f>
        <v>49</v>
      </c>
    </row>
    <row r="73" spans="1:50" x14ac:dyDescent="0.35">
      <c r="A73" s="23" t="s">
        <v>117</v>
      </c>
      <c r="B73" s="16">
        <v>13288</v>
      </c>
      <c r="C73" s="34">
        <f>62+22</f>
        <v>84</v>
      </c>
      <c r="D73" s="34">
        <f>31+166</f>
        <v>197</v>
      </c>
      <c r="E73" s="35">
        <f>24+115</f>
        <v>139</v>
      </c>
      <c r="F73" s="35">
        <f>4+49</f>
        <v>53</v>
      </c>
      <c r="G73" s="35">
        <v>5</v>
      </c>
      <c r="H73" s="35">
        <v>0</v>
      </c>
      <c r="I73" s="35">
        <v>0</v>
      </c>
      <c r="J73" s="35">
        <v>0</v>
      </c>
      <c r="K73" s="35">
        <v>0</v>
      </c>
      <c r="L73" s="35">
        <f t="shared" si="5"/>
        <v>197</v>
      </c>
      <c r="M73" s="35">
        <f>23+113</f>
        <v>136</v>
      </c>
      <c r="N73" s="35">
        <f>8+53</f>
        <v>61</v>
      </c>
      <c r="O73" s="35">
        <v>0</v>
      </c>
      <c r="P73" s="35">
        <f t="shared" si="6"/>
        <v>197</v>
      </c>
      <c r="Q73" s="35">
        <v>22</v>
      </c>
      <c r="R73" s="35">
        <v>23</v>
      </c>
      <c r="S73" s="35">
        <v>32</v>
      </c>
      <c r="T73" s="35">
        <v>69</v>
      </c>
      <c r="U73" s="35">
        <v>42</v>
      </c>
      <c r="V73" s="35">
        <v>9</v>
      </c>
      <c r="W73" s="35">
        <v>0</v>
      </c>
      <c r="X73" s="35">
        <f t="shared" si="7"/>
        <v>197</v>
      </c>
      <c r="Y73" s="35">
        <f>42+217</f>
        <v>259</v>
      </c>
      <c r="Z73" s="35">
        <f>46+79</f>
        <v>125</v>
      </c>
      <c r="AA73" s="35">
        <f>44+124</f>
        <v>168</v>
      </c>
      <c r="AB73" s="35">
        <f>64+94</f>
        <v>158</v>
      </c>
      <c r="AC73" s="35">
        <f>558+2190</f>
        <v>2748</v>
      </c>
      <c r="AD73" s="35">
        <v>10</v>
      </c>
      <c r="AE73" s="35">
        <v>16</v>
      </c>
      <c r="AF73" s="35">
        <v>0</v>
      </c>
      <c r="AG73" s="35">
        <v>4</v>
      </c>
      <c r="AH73" s="35">
        <v>9</v>
      </c>
      <c r="AI73" s="35">
        <v>11</v>
      </c>
      <c r="AJ73" s="35">
        <v>9</v>
      </c>
      <c r="AK73" s="35">
        <f>1790+902</f>
        <v>2692</v>
      </c>
      <c r="AL73" s="35">
        <v>12</v>
      </c>
      <c r="AM73" s="35">
        <v>7</v>
      </c>
      <c r="AN73" s="35">
        <f>11+52</f>
        <v>63</v>
      </c>
      <c r="AO73" s="35">
        <v>6</v>
      </c>
      <c r="AP73" s="35">
        <f>6+29</f>
        <v>35</v>
      </c>
      <c r="AQ73" s="35">
        <v>14</v>
      </c>
      <c r="AR73" s="35">
        <f>6+54</f>
        <v>60</v>
      </c>
      <c r="AS73" s="35">
        <f t="shared" si="8"/>
        <v>197</v>
      </c>
      <c r="AT73" s="35">
        <f>99+98</f>
        <v>197</v>
      </c>
      <c r="AU73" s="35">
        <v>40</v>
      </c>
      <c r="AV73" s="35">
        <v>16</v>
      </c>
      <c r="AW73" s="35">
        <v>1</v>
      </c>
      <c r="AX73" s="35">
        <v>0</v>
      </c>
    </row>
    <row r="74" spans="1:50" x14ac:dyDescent="0.35">
      <c r="A74" s="23" t="s">
        <v>190</v>
      </c>
      <c r="B74" s="17">
        <v>39842</v>
      </c>
      <c r="C74" s="33">
        <v>19</v>
      </c>
      <c r="D74" s="33">
        <v>36</v>
      </c>
      <c r="E74" s="8">
        <v>20</v>
      </c>
      <c r="F74" s="8">
        <v>8</v>
      </c>
      <c r="G74" s="8">
        <v>3</v>
      </c>
      <c r="H74" s="8">
        <v>0</v>
      </c>
      <c r="I74" s="8">
        <v>1</v>
      </c>
      <c r="J74" s="8">
        <v>0</v>
      </c>
      <c r="K74" s="8">
        <v>4</v>
      </c>
      <c r="L74" s="8">
        <f t="shared" si="5"/>
        <v>36</v>
      </c>
      <c r="M74" s="8">
        <v>36</v>
      </c>
      <c r="N74" s="8">
        <v>0</v>
      </c>
      <c r="O74" s="8">
        <v>0</v>
      </c>
      <c r="P74" s="8">
        <f t="shared" si="6"/>
        <v>36</v>
      </c>
      <c r="Q74" s="8">
        <v>0</v>
      </c>
      <c r="R74" s="8">
        <v>0</v>
      </c>
      <c r="S74" s="8">
        <v>9</v>
      </c>
      <c r="T74" s="8">
        <v>16</v>
      </c>
      <c r="U74" s="8">
        <v>9</v>
      </c>
      <c r="V74" s="8">
        <v>2</v>
      </c>
      <c r="W74" s="8">
        <v>0</v>
      </c>
      <c r="X74" s="8">
        <f t="shared" si="7"/>
        <v>36</v>
      </c>
      <c r="Y74" s="8">
        <v>238</v>
      </c>
      <c r="Z74" s="8">
        <v>18</v>
      </c>
      <c r="AA74" s="8">
        <v>92</v>
      </c>
      <c r="AB74" s="8">
        <v>2</v>
      </c>
      <c r="AC74" s="8">
        <v>338</v>
      </c>
      <c r="AD74" s="8">
        <v>5</v>
      </c>
      <c r="AE74" s="8">
        <v>23</v>
      </c>
      <c r="AF74" s="8">
        <v>0</v>
      </c>
      <c r="AG74" s="8">
        <v>2</v>
      </c>
      <c r="AH74" s="8">
        <v>1</v>
      </c>
      <c r="AI74" s="8">
        <v>46</v>
      </c>
      <c r="AJ74" s="8">
        <v>8</v>
      </c>
      <c r="AK74" s="8">
        <v>192</v>
      </c>
      <c r="AL74" s="8">
        <v>13</v>
      </c>
      <c r="AM74" s="8">
        <v>3</v>
      </c>
      <c r="AN74" s="8">
        <v>16</v>
      </c>
      <c r="AO74" s="8">
        <v>3</v>
      </c>
      <c r="AP74" s="8">
        <v>1</v>
      </c>
      <c r="AQ74" s="8">
        <v>0</v>
      </c>
      <c r="AR74" s="8">
        <v>0</v>
      </c>
      <c r="AS74" s="8">
        <f t="shared" si="8"/>
        <v>36</v>
      </c>
      <c r="AT74" s="8">
        <v>11</v>
      </c>
      <c r="AU74" s="8">
        <v>13</v>
      </c>
      <c r="AV74" s="8">
        <v>12</v>
      </c>
      <c r="AW74" s="8">
        <v>6</v>
      </c>
      <c r="AX74" s="8">
        <v>1</v>
      </c>
    </row>
    <row r="75" spans="1:50" x14ac:dyDescent="0.35">
      <c r="A75" s="23" t="s">
        <v>119</v>
      </c>
      <c r="B75" s="16">
        <v>60905</v>
      </c>
      <c r="C75" s="34">
        <f>99+58</f>
        <v>157</v>
      </c>
      <c r="D75" s="34">
        <f>41+21</f>
        <v>62</v>
      </c>
      <c r="E75" s="35">
        <v>27</v>
      </c>
      <c r="F75" s="35">
        <v>15</v>
      </c>
      <c r="G75" s="35">
        <v>4</v>
      </c>
      <c r="H75" s="35">
        <v>0</v>
      </c>
      <c r="I75" s="35">
        <v>0</v>
      </c>
      <c r="J75" s="35">
        <v>15</v>
      </c>
      <c r="K75" s="35">
        <v>1</v>
      </c>
      <c r="L75" s="35">
        <f t="shared" si="5"/>
        <v>62</v>
      </c>
      <c r="M75" s="35">
        <f>32+18</f>
        <v>50</v>
      </c>
      <c r="N75" s="35">
        <v>12</v>
      </c>
      <c r="O75" s="35">
        <v>0</v>
      </c>
      <c r="P75" s="35">
        <f t="shared" si="6"/>
        <v>62</v>
      </c>
      <c r="Q75" s="35">
        <v>1</v>
      </c>
      <c r="R75" s="35">
        <v>11</v>
      </c>
      <c r="S75" s="35">
        <v>6</v>
      </c>
      <c r="T75" s="35">
        <v>16</v>
      </c>
      <c r="U75" s="35">
        <v>12</v>
      </c>
      <c r="V75" s="35">
        <v>1</v>
      </c>
      <c r="W75" s="35">
        <v>15</v>
      </c>
      <c r="X75" s="35">
        <f t="shared" si="7"/>
        <v>62</v>
      </c>
      <c r="Y75" s="35">
        <v>28</v>
      </c>
      <c r="Z75" s="35">
        <f>46+16</f>
        <v>62</v>
      </c>
      <c r="AA75" s="35">
        <v>6</v>
      </c>
      <c r="AB75" s="35">
        <v>9</v>
      </c>
      <c r="AC75" s="35">
        <f>80+36</f>
        <v>116</v>
      </c>
      <c r="AD75" s="35">
        <v>21</v>
      </c>
      <c r="AE75" s="35">
        <v>1</v>
      </c>
      <c r="AF75" s="35">
        <v>0</v>
      </c>
      <c r="AG75" s="35">
        <v>0</v>
      </c>
      <c r="AH75" s="35">
        <v>0</v>
      </c>
      <c r="AI75" s="35">
        <v>7</v>
      </c>
      <c r="AJ75" s="35">
        <v>11</v>
      </c>
      <c r="AK75" s="35">
        <f>2203+1131</f>
        <v>3334</v>
      </c>
      <c r="AL75" s="35">
        <f>29+13</f>
        <v>42</v>
      </c>
      <c r="AM75" s="35">
        <v>0</v>
      </c>
      <c r="AN75" s="35">
        <v>4</v>
      </c>
      <c r="AO75" s="35">
        <v>0</v>
      </c>
      <c r="AP75" s="35">
        <v>16</v>
      </c>
      <c r="AQ75" s="35">
        <v>0</v>
      </c>
      <c r="AR75" s="35">
        <v>0</v>
      </c>
      <c r="AS75" s="35">
        <f t="shared" si="8"/>
        <v>62</v>
      </c>
      <c r="AT75" s="35">
        <v>11</v>
      </c>
      <c r="AU75" s="35">
        <v>11</v>
      </c>
      <c r="AV75" s="35">
        <v>7</v>
      </c>
      <c r="AW75" s="35">
        <v>12</v>
      </c>
      <c r="AX75" s="35">
        <v>21</v>
      </c>
    </row>
    <row r="76" spans="1:50" x14ac:dyDescent="0.35">
      <c r="A76" s="23" t="s">
        <v>191</v>
      </c>
      <c r="B76" s="17">
        <v>13690</v>
      </c>
      <c r="C76" s="33">
        <v>4</v>
      </c>
      <c r="D76" s="33">
        <v>11</v>
      </c>
      <c r="E76" s="8">
        <v>10</v>
      </c>
      <c r="F76" s="8">
        <v>1</v>
      </c>
      <c r="G76" s="8">
        <v>0</v>
      </c>
      <c r="H76" s="8">
        <v>0</v>
      </c>
      <c r="I76" s="8">
        <v>0</v>
      </c>
      <c r="J76" s="8">
        <v>0</v>
      </c>
      <c r="K76" s="8">
        <v>0</v>
      </c>
      <c r="L76" s="8">
        <f t="shared" si="5"/>
        <v>11</v>
      </c>
      <c r="M76" s="8">
        <v>11</v>
      </c>
      <c r="N76" s="8">
        <v>0</v>
      </c>
      <c r="O76" s="8">
        <v>0</v>
      </c>
      <c r="P76" s="8">
        <f t="shared" si="6"/>
        <v>11</v>
      </c>
      <c r="Q76" s="8">
        <v>0</v>
      </c>
      <c r="R76" s="8">
        <v>2</v>
      </c>
      <c r="S76" s="8">
        <v>2</v>
      </c>
      <c r="T76" s="8">
        <v>5</v>
      </c>
      <c r="U76" s="8">
        <v>2</v>
      </c>
      <c r="V76" s="8">
        <v>0</v>
      </c>
      <c r="W76" s="8">
        <v>0</v>
      </c>
      <c r="X76" s="8">
        <f t="shared" si="7"/>
        <v>11</v>
      </c>
      <c r="Y76" s="8">
        <v>51</v>
      </c>
      <c r="Z76" s="8">
        <v>8</v>
      </c>
      <c r="AA76" s="8">
        <v>16</v>
      </c>
      <c r="AB76" s="8">
        <v>0</v>
      </c>
      <c r="AC76" s="8">
        <v>96</v>
      </c>
      <c r="AD76" s="8">
        <v>0</v>
      </c>
      <c r="AE76" s="8">
        <v>15</v>
      </c>
      <c r="AF76" s="8">
        <v>0</v>
      </c>
      <c r="AG76" s="8">
        <v>0</v>
      </c>
      <c r="AH76" s="8">
        <v>0</v>
      </c>
      <c r="AI76" s="8">
        <v>1</v>
      </c>
      <c r="AJ76" s="8">
        <v>0</v>
      </c>
      <c r="AK76" s="8">
        <v>59</v>
      </c>
      <c r="AL76" s="8">
        <v>1</v>
      </c>
      <c r="AM76" s="8">
        <v>1</v>
      </c>
      <c r="AN76" s="8">
        <v>5</v>
      </c>
      <c r="AO76" s="8">
        <v>1</v>
      </c>
      <c r="AP76" s="8">
        <v>1</v>
      </c>
      <c r="AQ76" s="8">
        <v>0</v>
      </c>
      <c r="AR76" s="8">
        <v>2</v>
      </c>
      <c r="AS76" s="8">
        <f t="shared" si="8"/>
        <v>11</v>
      </c>
      <c r="AT76" s="8">
        <v>5</v>
      </c>
      <c r="AU76" s="8">
        <v>3</v>
      </c>
      <c r="AV76" s="8">
        <v>5</v>
      </c>
      <c r="AW76" s="8">
        <v>0</v>
      </c>
      <c r="AX76" s="8">
        <v>0</v>
      </c>
    </row>
    <row r="77" spans="1:50" x14ac:dyDescent="0.35">
      <c r="A77" s="23" t="s">
        <v>121</v>
      </c>
      <c r="B77" s="16">
        <v>39880</v>
      </c>
      <c r="C77" s="34">
        <v>12</v>
      </c>
      <c r="D77" s="34">
        <v>7</v>
      </c>
      <c r="E77" s="35">
        <v>7</v>
      </c>
      <c r="F77" s="35">
        <v>0</v>
      </c>
      <c r="G77" s="35">
        <v>0</v>
      </c>
      <c r="H77" s="35">
        <v>0</v>
      </c>
      <c r="I77" s="35">
        <v>0</v>
      </c>
      <c r="J77" s="35">
        <v>0</v>
      </c>
      <c r="K77" s="35">
        <v>0</v>
      </c>
      <c r="L77" s="35">
        <f t="shared" si="5"/>
        <v>7</v>
      </c>
      <c r="M77" s="35">
        <v>7</v>
      </c>
      <c r="N77" s="35">
        <v>0</v>
      </c>
      <c r="O77" s="35">
        <v>0</v>
      </c>
      <c r="P77" s="35">
        <f t="shared" si="6"/>
        <v>7</v>
      </c>
      <c r="Q77" s="35">
        <v>0</v>
      </c>
      <c r="R77" s="35">
        <v>0</v>
      </c>
      <c r="S77" s="35">
        <v>4</v>
      </c>
      <c r="T77" s="35">
        <v>3</v>
      </c>
      <c r="U77" s="35">
        <v>0</v>
      </c>
      <c r="V77" s="35">
        <v>0</v>
      </c>
      <c r="W77" s="35">
        <v>0</v>
      </c>
      <c r="X77" s="35">
        <f t="shared" si="7"/>
        <v>7</v>
      </c>
      <c r="Y77" s="35">
        <f>138+129</f>
        <v>267</v>
      </c>
      <c r="Z77" s="35">
        <v>7</v>
      </c>
      <c r="AA77" s="35">
        <v>5</v>
      </c>
      <c r="AB77" s="35">
        <v>1</v>
      </c>
      <c r="AC77" s="35">
        <v>5</v>
      </c>
      <c r="AD77" s="35">
        <v>0</v>
      </c>
      <c r="AE77" s="35">
        <v>3</v>
      </c>
      <c r="AF77" s="35">
        <v>0</v>
      </c>
      <c r="AG77" s="35">
        <v>10</v>
      </c>
      <c r="AH77" s="35">
        <v>0</v>
      </c>
      <c r="AI77" s="35">
        <v>13</v>
      </c>
      <c r="AJ77" s="35">
        <v>7</v>
      </c>
      <c r="AK77" s="35">
        <f>319+211</f>
        <v>530</v>
      </c>
      <c r="AL77" s="35">
        <v>6</v>
      </c>
      <c r="AM77" s="35">
        <v>1</v>
      </c>
      <c r="AN77" s="35">
        <v>0</v>
      </c>
      <c r="AO77" s="35">
        <v>0</v>
      </c>
      <c r="AP77" s="35">
        <v>0</v>
      </c>
      <c r="AQ77" s="35">
        <v>0</v>
      </c>
      <c r="AR77" s="35">
        <v>0</v>
      </c>
      <c r="AS77" s="35">
        <f t="shared" si="8"/>
        <v>7</v>
      </c>
      <c r="AT77" s="35">
        <v>0</v>
      </c>
      <c r="AU77" s="35">
        <v>5</v>
      </c>
      <c r="AV77" s="35">
        <v>2</v>
      </c>
      <c r="AW77" s="35">
        <v>1</v>
      </c>
      <c r="AX77" s="35">
        <v>0</v>
      </c>
    </row>
    <row r="78" spans="1:50" x14ac:dyDescent="0.35">
      <c r="A78" s="23" t="s">
        <v>122</v>
      </c>
      <c r="B78" s="17">
        <v>178017</v>
      </c>
      <c r="C78" s="33">
        <f>1346+1125</f>
        <v>2471</v>
      </c>
      <c r="D78" s="33">
        <f>356+290</f>
        <v>646</v>
      </c>
      <c r="E78" s="8">
        <f>221+171</f>
        <v>392</v>
      </c>
      <c r="F78" s="8">
        <f>97+95</f>
        <v>192</v>
      </c>
      <c r="G78" s="8">
        <f>19+17</f>
        <v>36</v>
      </c>
      <c r="H78" s="8">
        <v>1</v>
      </c>
      <c r="I78" s="8">
        <v>4</v>
      </c>
      <c r="J78" s="8">
        <v>1</v>
      </c>
      <c r="K78" s="8">
        <v>20</v>
      </c>
      <c r="L78" s="8">
        <f t="shared" si="5"/>
        <v>646</v>
      </c>
      <c r="M78" s="8">
        <f>308+267</f>
        <v>575</v>
      </c>
      <c r="N78" s="8">
        <f>48+23</f>
        <v>71</v>
      </c>
      <c r="O78" s="8">
        <v>0</v>
      </c>
      <c r="P78" s="8">
        <f t="shared" si="6"/>
        <v>646</v>
      </c>
      <c r="Q78" s="8">
        <v>27</v>
      </c>
      <c r="R78" s="8">
        <f>52+39</f>
        <v>91</v>
      </c>
      <c r="S78" s="8">
        <f>137+117</f>
        <v>254</v>
      </c>
      <c r="T78" s="8">
        <f>96+80</f>
        <v>176</v>
      </c>
      <c r="U78" s="8">
        <f>48+37</f>
        <v>85</v>
      </c>
      <c r="V78" s="8">
        <v>13</v>
      </c>
      <c r="W78" s="8">
        <v>0</v>
      </c>
      <c r="X78" s="8">
        <f t="shared" si="7"/>
        <v>646</v>
      </c>
      <c r="Y78" s="8">
        <f>672+499</f>
        <v>1171</v>
      </c>
      <c r="Z78" s="8">
        <f>1346+1204</f>
        <v>2550</v>
      </c>
      <c r="AA78" s="8">
        <f>357+219</f>
        <v>576</v>
      </c>
      <c r="AB78" s="8">
        <v>0</v>
      </c>
      <c r="AC78" s="8">
        <f>356+218</f>
        <v>574</v>
      </c>
      <c r="AD78" s="8">
        <v>40</v>
      </c>
      <c r="AE78" s="8">
        <v>3</v>
      </c>
      <c r="AF78" s="8">
        <v>2</v>
      </c>
      <c r="AG78" s="8">
        <v>0</v>
      </c>
      <c r="AH78" s="8">
        <v>0</v>
      </c>
      <c r="AI78" s="8">
        <f>46+37</f>
        <v>83</v>
      </c>
      <c r="AJ78" s="8">
        <v>20</v>
      </c>
      <c r="AK78" s="8">
        <f>210+180</f>
        <v>390</v>
      </c>
      <c r="AL78" s="8">
        <f>159+182</f>
        <v>341</v>
      </c>
      <c r="AM78" s="8">
        <v>25</v>
      </c>
      <c r="AN78" s="8">
        <v>27</v>
      </c>
      <c r="AO78" s="8">
        <v>7</v>
      </c>
      <c r="AP78" s="8">
        <f>39+32</f>
        <v>71</v>
      </c>
      <c r="AQ78" s="8">
        <v>52</v>
      </c>
      <c r="AR78" s="8">
        <f>57+66</f>
        <v>123</v>
      </c>
      <c r="AS78" s="8">
        <f t="shared" si="8"/>
        <v>646</v>
      </c>
      <c r="AT78" s="8">
        <f>74+47</f>
        <v>121</v>
      </c>
      <c r="AU78" s="8">
        <f>134+111</f>
        <v>245</v>
      </c>
      <c r="AV78" s="8">
        <f>24+22</f>
        <v>46</v>
      </c>
      <c r="AW78" s="8">
        <f>14+27</f>
        <v>41</v>
      </c>
      <c r="AX78" s="8">
        <f>110+83</f>
        <v>193</v>
      </c>
    </row>
    <row r="79" spans="1:50" x14ac:dyDescent="0.35">
      <c r="A79" s="23" t="s">
        <v>123</v>
      </c>
      <c r="B79" s="16">
        <v>21319</v>
      </c>
      <c r="C79" s="34">
        <f>95+125</f>
        <v>220</v>
      </c>
      <c r="D79" s="34">
        <v>15</v>
      </c>
      <c r="E79" s="35">
        <v>10</v>
      </c>
      <c r="F79" s="35">
        <v>2</v>
      </c>
      <c r="G79" s="35">
        <v>3</v>
      </c>
      <c r="H79" s="35">
        <v>0</v>
      </c>
      <c r="I79" s="35">
        <v>0</v>
      </c>
      <c r="J79" s="35">
        <v>0</v>
      </c>
      <c r="K79" s="35">
        <v>0</v>
      </c>
      <c r="L79" s="35">
        <f t="shared" si="5"/>
        <v>15</v>
      </c>
      <c r="M79" s="35">
        <v>14</v>
      </c>
      <c r="N79" s="35">
        <v>1</v>
      </c>
      <c r="O79" s="35">
        <v>0</v>
      </c>
      <c r="P79" s="35">
        <f t="shared" si="6"/>
        <v>15</v>
      </c>
      <c r="Q79" s="35">
        <v>2</v>
      </c>
      <c r="R79" s="35">
        <v>1</v>
      </c>
      <c r="S79" s="35">
        <v>1</v>
      </c>
      <c r="T79" s="35">
        <v>6</v>
      </c>
      <c r="U79" s="35">
        <v>4</v>
      </c>
      <c r="V79" s="35">
        <v>0</v>
      </c>
      <c r="W79" s="35">
        <v>1</v>
      </c>
      <c r="X79" s="35">
        <f t="shared" si="7"/>
        <v>15</v>
      </c>
      <c r="Y79" s="35">
        <v>633</v>
      </c>
      <c r="Z79" s="35">
        <v>28</v>
      </c>
      <c r="AA79" s="35">
        <v>9</v>
      </c>
      <c r="AB79" s="35">
        <v>13</v>
      </c>
      <c r="AC79" s="35">
        <v>17</v>
      </c>
      <c r="AD79" s="35">
        <v>2</v>
      </c>
      <c r="AE79" s="35">
        <v>8</v>
      </c>
      <c r="AF79" s="35">
        <v>0</v>
      </c>
      <c r="AG79" s="35">
        <f>43+9</f>
        <v>52</v>
      </c>
      <c r="AH79" s="35">
        <v>3</v>
      </c>
      <c r="AI79" s="35">
        <v>21</v>
      </c>
      <c r="AJ79" s="35">
        <v>0</v>
      </c>
      <c r="AK79" s="35">
        <f>716+718</f>
        <v>1434</v>
      </c>
      <c r="AL79" s="35">
        <v>5</v>
      </c>
      <c r="AM79" s="35">
        <v>2</v>
      </c>
      <c r="AN79" s="35">
        <v>0</v>
      </c>
      <c r="AO79" s="35">
        <v>4</v>
      </c>
      <c r="AP79" s="35">
        <v>2</v>
      </c>
      <c r="AQ79" s="35">
        <v>1</v>
      </c>
      <c r="AR79" s="35">
        <v>1</v>
      </c>
      <c r="AS79" s="35">
        <f t="shared" si="8"/>
        <v>15</v>
      </c>
      <c r="AT79" s="35">
        <v>4</v>
      </c>
      <c r="AU79" s="35">
        <v>3</v>
      </c>
      <c r="AV79" s="35">
        <v>5</v>
      </c>
      <c r="AW79" s="35">
        <v>1</v>
      </c>
      <c r="AX79" s="35">
        <v>2</v>
      </c>
    </row>
    <row r="80" spans="1:50" x14ac:dyDescent="0.35">
      <c r="A80" s="23" t="s">
        <v>179</v>
      </c>
      <c r="B80" s="17">
        <v>143690</v>
      </c>
      <c r="C80" s="33">
        <v>28</v>
      </c>
      <c r="D80" s="33">
        <f>11+23</f>
        <v>34</v>
      </c>
      <c r="E80" s="8">
        <v>31</v>
      </c>
      <c r="F80" s="8">
        <v>3</v>
      </c>
      <c r="G80" s="8">
        <v>0</v>
      </c>
      <c r="H80" s="8">
        <v>0</v>
      </c>
      <c r="I80" s="8">
        <v>0</v>
      </c>
      <c r="J80" s="8">
        <v>0</v>
      </c>
      <c r="K80" s="8">
        <v>0</v>
      </c>
      <c r="L80" s="8">
        <f t="shared" si="5"/>
        <v>34</v>
      </c>
      <c r="M80" s="8">
        <v>33</v>
      </c>
      <c r="N80" s="8">
        <v>1</v>
      </c>
      <c r="O80" s="8">
        <v>0</v>
      </c>
      <c r="P80" s="8">
        <f t="shared" si="6"/>
        <v>34</v>
      </c>
      <c r="Q80" s="8">
        <v>2</v>
      </c>
      <c r="R80" s="8">
        <v>0</v>
      </c>
      <c r="S80" s="8">
        <v>9</v>
      </c>
      <c r="T80" s="8">
        <v>15</v>
      </c>
      <c r="U80" s="8">
        <v>8</v>
      </c>
      <c r="V80" s="8">
        <v>0</v>
      </c>
      <c r="W80" s="8">
        <v>0</v>
      </c>
      <c r="X80" s="8">
        <f t="shared" si="7"/>
        <v>34</v>
      </c>
      <c r="Y80" s="8">
        <f>341+154</f>
        <v>495</v>
      </c>
      <c r="Z80" s="8">
        <f>337+151</f>
        <v>488</v>
      </c>
      <c r="AA80" s="8">
        <f>37+19</f>
        <v>56</v>
      </c>
      <c r="AB80" s="8">
        <f>35+71</f>
        <v>106</v>
      </c>
      <c r="AC80" s="8">
        <f>18+5</f>
        <v>23</v>
      </c>
      <c r="AD80" s="8">
        <v>3</v>
      </c>
      <c r="AE80" s="8">
        <v>8</v>
      </c>
      <c r="AF80" s="8">
        <v>4</v>
      </c>
      <c r="AG80" s="8">
        <v>7</v>
      </c>
      <c r="AH80" s="8">
        <v>0</v>
      </c>
      <c r="AI80" s="8">
        <v>6</v>
      </c>
      <c r="AJ80" s="8">
        <v>4</v>
      </c>
      <c r="AK80" s="8">
        <v>72</v>
      </c>
      <c r="AL80" s="8">
        <v>7</v>
      </c>
      <c r="AM80" s="8">
        <v>0</v>
      </c>
      <c r="AN80" s="8">
        <v>8</v>
      </c>
      <c r="AO80" s="8">
        <v>1</v>
      </c>
      <c r="AP80" s="8">
        <v>1</v>
      </c>
      <c r="AQ80" s="8">
        <v>4</v>
      </c>
      <c r="AR80" s="8">
        <v>13</v>
      </c>
      <c r="AS80" s="8">
        <f t="shared" si="8"/>
        <v>34</v>
      </c>
      <c r="AT80" s="8">
        <v>6</v>
      </c>
      <c r="AU80" s="8">
        <v>9</v>
      </c>
      <c r="AV80" s="8">
        <v>5</v>
      </c>
      <c r="AW80" s="8">
        <v>2</v>
      </c>
      <c r="AX80" s="8">
        <v>16</v>
      </c>
    </row>
    <row r="81" spans="1:50" x14ac:dyDescent="0.35">
      <c r="A81" s="23" t="s">
        <v>125</v>
      </c>
      <c r="B81" s="18" t="s">
        <v>81</v>
      </c>
      <c r="C81" s="34">
        <f>56+32</f>
        <v>88</v>
      </c>
      <c r="D81" s="34">
        <f>73+53</f>
        <v>126</v>
      </c>
      <c r="E81" s="35">
        <f>51+39</f>
        <v>90</v>
      </c>
      <c r="F81" s="35">
        <v>26</v>
      </c>
      <c r="G81" s="35">
        <v>7</v>
      </c>
      <c r="H81" s="35">
        <v>0</v>
      </c>
      <c r="I81" s="35">
        <v>2</v>
      </c>
      <c r="J81" s="35">
        <v>0</v>
      </c>
      <c r="K81" s="35">
        <v>1</v>
      </c>
      <c r="L81" s="35">
        <f t="shared" si="5"/>
        <v>126</v>
      </c>
      <c r="M81" s="35">
        <f>68+53</f>
        <v>121</v>
      </c>
      <c r="N81" s="35">
        <v>5</v>
      </c>
      <c r="O81" s="35">
        <v>0</v>
      </c>
      <c r="P81" s="35">
        <f t="shared" si="6"/>
        <v>126</v>
      </c>
      <c r="Q81" s="35">
        <v>6</v>
      </c>
      <c r="R81" s="35">
        <v>3</v>
      </c>
      <c r="S81" s="35">
        <v>16</v>
      </c>
      <c r="T81" s="35">
        <f>31+24</f>
        <v>55</v>
      </c>
      <c r="U81" s="35">
        <f>26+20</f>
        <v>46</v>
      </c>
      <c r="V81" s="35">
        <v>0</v>
      </c>
      <c r="W81" s="35">
        <v>0</v>
      </c>
      <c r="X81" s="35">
        <f t="shared" si="7"/>
        <v>126</v>
      </c>
      <c r="Y81" s="35">
        <f>461+289</f>
        <v>750</v>
      </c>
      <c r="Z81" s="35">
        <f>591+204</f>
        <v>795</v>
      </c>
      <c r="AA81" s="35">
        <f>90+36</f>
        <v>126</v>
      </c>
      <c r="AB81" s="35">
        <f>81+21</f>
        <v>102</v>
      </c>
      <c r="AC81" s="35">
        <f>53+45</f>
        <v>98</v>
      </c>
      <c r="AD81" s="35">
        <v>2</v>
      </c>
      <c r="AE81" s="35">
        <f>17+17</f>
        <v>34</v>
      </c>
      <c r="AF81" s="35">
        <v>0</v>
      </c>
      <c r="AG81" s="35">
        <f>24+21</f>
        <v>45</v>
      </c>
      <c r="AH81" s="35">
        <v>2</v>
      </c>
      <c r="AI81" s="35">
        <v>19</v>
      </c>
      <c r="AJ81" s="35">
        <v>10</v>
      </c>
      <c r="AK81" s="35">
        <f>68+200</f>
        <v>268</v>
      </c>
      <c r="AL81" s="35">
        <f>14+9</f>
        <v>23</v>
      </c>
      <c r="AM81" s="35">
        <v>2</v>
      </c>
      <c r="AN81" s="35">
        <v>19</v>
      </c>
      <c r="AO81" s="35">
        <v>12</v>
      </c>
      <c r="AP81" s="35">
        <v>10</v>
      </c>
      <c r="AQ81" s="35">
        <v>9</v>
      </c>
      <c r="AR81" s="35">
        <f>30+21</f>
        <v>51</v>
      </c>
      <c r="AS81" s="35">
        <f t="shared" si="8"/>
        <v>126</v>
      </c>
      <c r="AT81" s="35">
        <v>22</v>
      </c>
      <c r="AU81" s="35">
        <v>16</v>
      </c>
      <c r="AV81" s="35">
        <v>11</v>
      </c>
      <c r="AW81" s="35">
        <v>0</v>
      </c>
      <c r="AX81" s="35">
        <f>45+32</f>
        <v>77</v>
      </c>
    </row>
    <row r="82" spans="1:50" x14ac:dyDescent="0.35">
      <c r="A82" s="23" t="s">
        <v>126</v>
      </c>
      <c r="B82" s="17">
        <v>45147</v>
      </c>
      <c r="C82" s="33">
        <v>24</v>
      </c>
      <c r="D82" s="33">
        <v>18</v>
      </c>
      <c r="E82" s="8">
        <v>10</v>
      </c>
      <c r="F82" s="8">
        <v>6</v>
      </c>
      <c r="G82" s="8">
        <v>1</v>
      </c>
      <c r="H82" s="8">
        <v>0</v>
      </c>
      <c r="I82" s="8">
        <v>0</v>
      </c>
      <c r="J82" s="8">
        <v>1</v>
      </c>
      <c r="K82" s="8">
        <v>0</v>
      </c>
      <c r="L82" s="8">
        <f t="shared" si="5"/>
        <v>18</v>
      </c>
      <c r="M82" s="8">
        <v>18</v>
      </c>
      <c r="N82" s="8">
        <v>0</v>
      </c>
      <c r="O82" s="8">
        <v>0</v>
      </c>
      <c r="P82" s="8">
        <f t="shared" si="6"/>
        <v>18</v>
      </c>
      <c r="Q82" s="8">
        <v>0</v>
      </c>
      <c r="R82" s="8">
        <v>0</v>
      </c>
      <c r="S82" s="8">
        <v>3</v>
      </c>
      <c r="T82" s="8">
        <v>12</v>
      </c>
      <c r="U82" s="8">
        <v>3</v>
      </c>
      <c r="V82" s="8">
        <v>0</v>
      </c>
      <c r="W82" s="8">
        <v>0</v>
      </c>
      <c r="X82" s="8">
        <f t="shared" si="7"/>
        <v>18</v>
      </c>
      <c r="Y82" s="8">
        <v>16</v>
      </c>
      <c r="Z82" s="8">
        <v>62</v>
      </c>
      <c r="AA82" s="8">
        <v>5</v>
      </c>
      <c r="AB82" s="8">
        <v>0</v>
      </c>
      <c r="AC82" s="8">
        <v>9</v>
      </c>
      <c r="AD82" s="8">
        <v>0</v>
      </c>
      <c r="AE82" s="8">
        <v>5</v>
      </c>
      <c r="AF82" s="8">
        <v>0</v>
      </c>
      <c r="AG82" s="8">
        <v>4</v>
      </c>
      <c r="AH82" s="8">
        <v>0</v>
      </c>
      <c r="AI82" s="8">
        <v>10</v>
      </c>
      <c r="AJ82" s="8">
        <v>15</v>
      </c>
      <c r="AK82" s="8">
        <v>240</v>
      </c>
      <c r="AL82" s="8">
        <v>7</v>
      </c>
      <c r="AM82" s="8">
        <v>1</v>
      </c>
      <c r="AN82" s="8">
        <v>5</v>
      </c>
      <c r="AO82" s="8">
        <v>2</v>
      </c>
      <c r="AP82" s="8">
        <v>3</v>
      </c>
      <c r="AQ82" s="8">
        <v>0</v>
      </c>
      <c r="AR82" s="8">
        <v>0</v>
      </c>
      <c r="AS82" s="8">
        <f t="shared" si="8"/>
        <v>18</v>
      </c>
      <c r="AT82" s="8">
        <v>4</v>
      </c>
      <c r="AU82" s="8">
        <v>7</v>
      </c>
      <c r="AV82" s="8">
        <v>3</v>
      </c>
      <c r="AW82" s="8">
        <v>3</v>
      </c>
      <c r="AX82" s="8">
        <v>1</v>
      </c>
    </row>
    <row r="83" spans="1:50" x14ac:dyDescent="0.35">
      <c r="A83" s="23" t="s">
        <v>180</v>
      </c>
      <c r="B83" s="16">
        <v>132231</v>
      </c>
      <c r="C83" s="34">
        <f>189+170</f>
        <v>359</v>
      </c>
      <c r="D83" s="34">
        <f>29+40</f>
        <v>69</v>
      </c>
      <c r="E83" s="35">
        <v>17</v>
      </c>
      <c r="F83" s="35">
        <v>21</v>
      </c>
      <c r="G83" s="35">
        <v>4</v>
      </c>
      <c r="H83" s="35">
        <v>11</v>
      </c>
      <c r="I83" s="35">
        <v>0</v>
      </c>
      <c r="J83" s="35">
        <v>16</v>
      </c>
      <c r="K83" s="35">
        <v>0</v>
      </c>
      <c r="L83" s="35">
        <f t="shared" si="5"/>
        <v>69</v>
      </c>
      <c r="M83" s="35">
        <f>28+33</f>
        <v>61</v>
      </c>
      <c r="N83" s="35">
        <v>8</v>
      </c>
      <c r="O83" s="35">
        <v>0</v>
      </c>
      <c r="P83" s="35">
        <f t="shared" si="6"/>
        <v>69</v>
      </c>
      <c r="Q83" s="35">
        <v>4</v>
      </c>
      <c r="R83" s="35">
        <v>7</v>
      </c>
      <c r="S83" s="35">
        <v>20</v>
      </c>
      <c r="T83" s="35">
        <v>17</v>
      </c>
      <c r="U83" s="35">
        <v>9</v>
      </c>
      <c r="V83" s="35">
        <v>2</v>
      </c>
      <c r="W83" s="35">
        <v>10</v>
      </c>
      <c r="X83" s="35">
        <f t="shared" si="7"/>
        <v>69</v>
      </c>
      <c r="Y83" s="35">
        <f>390+33</f>
        <v>423</v>
      </c>
      <c r="Z83" s="35">
        <f>857+22</f>
        <v>879</v>
      </c>
      <c r="AA83" s="35">
        <f>198+14</f>
        <v>212</v>
      </c>
      <c r="AB83" s="35">
        <v>2</v>
      </c>
      <c r="AC83" s="35">
        <f>126+14</f>
        <v>140</v>
      </c>
      <c r="AD83" s="35">
        <f>29+21</f>
        <v>50</v>
      </c>
      <c r="AE83" s="35">
        <v>6</v>
      </c>
      <c r="AF83" s="35">
        <v>0</v>
      </c>
      <c r="AG83" s="35">
        <v>0</v>
      </c>
      <c r="AH83" s="35">
        <v>0</v>
      </c>
      <c r="AI83" s="35">
        <v>12</v>
      </c>
      <c r="AJ83" s="35">
        <v>11</v>
      </c>
      <c r="AK83" s="35">
        <f>1049+1412</f>
        <v>2461</v>
      </c>
      <c r="AL83" s="35">
        <v>48</v>
      </c>
      <c r="AM83" s="35">
        <v>0</v>
      </c>
      <c r="AN83" s="35">
        <v>3</v>
      </c>
      <c r="AO83" s="35">
        <v>0</v>
      </c>
      <c r="AP83" s="35">
        <v>11</v>
      </c>
      <c r="AQ83" s="35">
        <v>1</v>
      </c>
      <c r="AR83" s="35">
        <v>6</v>
      </c>
      <c r="AS83" s="35">
        <f t="shared" si="8"/>
        <v>69</v>
      </c>
      <c r="AT83" s="35">
        <v>5</v>
      </c>
      <c r="AU83" s="35">
        <v>29</v>
      </c>
      <c r="AV83" s="35">
        <v>11</v>
      </c>
      <c r="AW83" s="35">
        <v>11</v>
      </c>
      <c r="AX83" s="35">
        <v>13</v>
      </c>
    </row>
    <row r="84" spans="1:50" x14ac:dyDescent="0.35">
      <c r="A84" s="23" t="s">
        <v>128</v>
      </c>
      <c r="B84" s="17">
        <v>91502</v>
      </c>
      <c r="C84" s="33">
        <f>144+223</f>
        <v>367</v>
      </c>
      <c r="D84" s="33">
        <f>209+254</f>
        <v>463</v>
      </c>
      <c r="E84" s="8">
        <f>153+179</f>
        <v>332</v>
      </c>
      <c r="F84" s="8">
        <f>35+38</f>
        <v>73</v>
      </c>
      <c r="G84" s="8">
        <f>16+18</f>
        <v>34</v>
      </c>
      <c r="H84" s="8">
        <v>4</v>
      </c>
      <c r="I84" s="8">
        <v>0</v>
      </c>
      <c r="J84" s="8">
        <v>6</v>
      </c>
      <c r="K84" s="8">
        <v>14</v>
      </c>
      <c r="L84" s="8">
        <f t="shared" si="5"/>
        <v>463</v>
      </c>
      <c r="M84" s="8">
        <f>90+200</f>
        <v>290</v>
      </c>
      <c r="N84" s="8">
        <f>119+54</f>
        <v>173</v>
      </c>
      <c r="O84" s="8">
        <v>0</v>
      </c>
      <c r="P84" s="8">
        <f t="shared" si="6"/>
        <v>463</v>
      </c>
      <c r="Q84" s="8">
        <f>49+60</f>
        <v>109</v>
      </c>
      <c r="R84" s="8">
        <f>47+43</f>
        <v>90</v>
      </c>
      <c r="S84" s="8">
        <f>11+12</f>
        <v>23</v>
      </c>
      <c r="T84" s="8">
        <f>54+77</f>
        <v>131</v>
      </c>
      <c r="U84" s="8">
        <f>49+40</f>
        <v>89</v>
      </c>
      <c r="V84" s="8">
        <v>16</v>
      </c>
      <c r="W84" s="8">
        <v>5</v>
      </c>
      <c r="X84" s="8">
        <f t="shared" si="7"/>
        <v>463</v>
      </c>
      <c r="Y84" s="8">
        <f>417+831</f>
        <v>1248</v>
      </c>
      <c r="Z84" s="8">
        <f>1471+3005</f>
        <v>4476</v>
      </c>
      <c r="AA84" s="8">
        <f>193+299</f>
        <v>492</v>
      </c>
      <c r="AB84" s="8">
        <f>126+798</f>
        <v>924</v>
      </c>
      <c r="AC84" s="8">
        <f>298+316</f>
        <v>614</v>
      </c>
      <c r="AD84" s="8">
        <v>13</v>
      </c>
      <c r="AE84" s="8">
        <f>152+234</f>
        <v>386</v>
      </c>
      <c r="AF84" s="8">
        <v>5</v>
      </c>
      <c r="AG84" s="8">
        <f>46+30</f>
        <v>76</v>
      </c>
      <c r="AH84" s="8">
        <v>1</v>
      </c>
      <c r="AI84" s="8">
        <f>25+31</f>
        <v>56</v>
      </c>
      <c r="AJ84" s="8">
        <v>5</v>
      </c>
      <c r="AK84" s="8">
        <f>555+643</f>
        <v>1198</v>
      </c>
      <c r="AL84" s="8">
        <f>87+91</f>
        <v>178</v>
      </c>
      <c r="AM84" s="8">
        <v>30</v>
      </c>
      <c r="AN84" s="8">
        <v>5</v>
      </c>
      <c r="AO84" s="8">
        <v>14</v>
      </c>
      <c r="AP84" s="8">
        <f>82+83</f>
        <v>165</v>
      </c>
      <c r="AQ84" s="8">
        <v>4</v>
      </c>
      <c r="AR84" s="8">
        <f>22+45</f>
        <v>67</v>
      </c>
      <c r="AS84" s="8">
        <f t="shared" si="8"/>
        <v>463</v>
      </c>
      <c r="AT84" s="8">
        <f>86+106</f>
        <v>192</v>
      </c>
      <c r="AU84" s="8">
        <f>84+66</f>
        <v>150</v>
      </c>
      <c r="AV84" s="8">
        <v>40</v>
      </c>
      <c r="AW84" s="8">
        <v>5</v>
      </c>
      <c r="AX84" s="8">
        <f>29+47</f>
        <v>76</v>
      </c>
    </row>
    <row r="85" spans="1:50" x14ac:dyDescent="0.35">
      <c r="A85" s="23" t="s">
        <v>129</v>
      </c>
      <c r="B85" s="16">
        <v>141371</v>
      </c>
      <c r="C85" s="34">
        <v>11</v>
      </c>
      <c r="D85" s="34">
        <v>15</v>
      </c>
      <c r="E85" s="35">
        <v>8</v>
      </c>
      <c r="F85" s="35">
        <v>6</v>
      </c>
      <c r="G85" s="35">
        <v>1</v>
      </c>
      <c r="H85" s="35">
        <v>0</v>
      </c>
      <c r="I85" s="35">
        <v>0</v>
      </c>
      <c r="J85" s="35">
        <v>0</v>
      </c>
      <c r="K85" s="35">
        <v>0</v>
      </c>
      <c r="L85" s="35">
        <f t="shared" si="5"/>
        <v>15</v>
      </c>
      <c r="M85" s="35">
        <v>15</v>
      </c>
      <c r="N85" s="35">
        <v>0</v>
      </c>
      <c r="O85" s="35">
        <v>0</v>
      </c>
      <c r="P85" s="35">
        <f t="shared" si="6"/>
        <v>15</v>
      </c>
      <c r="Q85" s="35">
        <v>1</v>
      </c>
      <c r="R85" s="35">
        <v>0</v>
      </c>
      <c r="S85" s="35">
        <v>6</v>
      </c>
      <c r="T85" s="35">
        <v>8</v>
      </c>
      <c r="U85" s="35">
        <v>0</v>
      </c>
      <c r="V85" s="35">
        <v>0</v>
      </c>
      <c r="W85" s="35">
        <v>0</v>
      </c>
      <c r="X85" s="35">
        <f t="shared" si="7"/>
        <v>15</v>
      </c>
      <c r="Y85" s="35">
        <f>18+84</f>
        <v>102</v>
      </c>
      <c r="Z85" s="35">
        <f>29+21</f>
        <v>50</v>
      </c>
      <c r="AA85" s="35">
        <f>18+105</f>
        <v>123</v>
      </c>
      <c r="AB85" s="35">
        <v>0</v>
      </c>
      <c r="AC85" s="35">
        <v>38</v>
      </c>
      <c r="AD85" s="35">
        <v>11</v>
      </c>
      <c r="AE85" s="35">
        <v>2</v>
      </c>
      <c r="AF85" s="35">
        <v>2</v>
      </c>
      <c r="AG85" s="35">
        <v>10</v>
      </c>
      <c r="AH85" s="35">
        <v>1</v>
      </c>
      <c r="AI85" s="35">
        <v>11</v>
      </c>
      <c r="AJ85" s="35">
        <v>0</v>
      </c>
      <c r="AK85" s="35">
        <f>409+9</f>
        <v>418</v>
      </c>
      <c r="AL85" s="35">
        <v>7</v>
      </c>
      <c r="AM85" s="35">
        <v>0</v>
      </c>
      <c r="AN85" s="35">
        <v>1</v>
      </c>
      <c r="AO85" s="35">
        <v>0</v>
      </c>
      <c r="AP85" s="35">
        <v>1</v>
      </c>
      <c r="AQ85" s="35">
        <v>0</v>
      </c>
      <c r="AR85" s="35">
        <v>6</v>
      </c>
      <c r="AS85" s="35">
        <f t="shared" si="8"/>
        <v>15</v>
      </c>
      <c r="AT85" s="35">
        <v>0</v>
      </c>
      <c r="AU85" s="35">
        <v>8</v>
      </c>
      <c r="AV85" s="35">
        <v>2</v>
      </c>
      <c r="AW85" s="35">
        <v>5</v>
      </c>
      <c r="AX85" s="35">
        <v>0</v>
      </c>
    </row>
    <row r="86" spans="1:50" x14ac:dyDescent="0.35">
      <c r="A86" s="23" t="s">
        <v>130</v>
      </c>
      <c r="B86" s="17">
        <v>68259</v>
      </c>
      <c r="C86" s="33">
        <f>16+23</f>
        <v>39</v>
      </c>
      <c r="D86" s="33">
        <f>12+16</f>
        <v>28</v>
      </c>
      <c r="E86" s="8">
        <v>26</v>
      </c>
      <c r="F86" s="8">
        <v>1</v>
      </c>
      <c r="G86" s="8">
        <v>0</v>
      </c>
      <c r="H86" s="8">
        <v>0</v>
      </c>
      <c r="I86" s="8">
        <v>0</v>
      </c>
      <c r="J86" s="8">
        <v>0</v>
      </c>
      <c r="K86" s="8">
        <v>1</v>
      </c>
      <c r="L86" s="8">
        <f t="shared" si="5"/>
        <v>28</v>
      </c>
      <c r="M86" s="8">
        <v>28</v>
      </c>
      <c r="N86" s="8">
        <v>0</v>
      </c>
      <c r="O86" s="8">
        <v>0</v>
      </c>
      <c r="P86" s="8">
        <f t="shared" si="6"/>
        <v>28</v>
      </c>
      <c r="Q86" s="8">
        <v>1</v>
      </c>
      <c r="R86" s="8">
        <v>4</v>
      </c>
      <c r="S86" s="8">
        <v>17</v>
      </c>
      <c r="T86" s="8">
        <v>6</v>
      </c>
      <c r="U86" s="8">
        <v>0</v>
      </c>
      <c r="V86" s="8">
        <v>0</v>
      </c>
      <c r="W86" s="8">
        <v>0</v>
      </c>
      <c r="X86" s="8">
        <f t="shared" si="7"/>
        <v>28</v>
      </c>
      <c r="Y86" s="8">
        <f>31+39</f>
        <v>70</v>
      </c>
      <c r="Z86" s="8">
        <f>18+27</f>
        <v>45</v>
      </c>
      <c r="AA86" s="8">
        <f>26+42</f>
        <v>68</v>
      </c>
      <c r="AB86" s="8">
        <f>37+31</f>
        <v>68</v>
      </c>
      <c r="AC86" s="8">
        <f>104+126</f>
        <v>230</v>
      </c>
      <c r="AD86" s="8">
        <v>20</v>
      </c>
      <c r="AE86" s="8">
        <v>13</v>
      </c>
      <c r="AF86" s="8">
        <v>1</v>
      </c>
      <c r="AG86" s="8">
        <v>20</v>
      </c>
      <c r="AH86" s="8">
        <v>0</v>
      </c>
      <c r="AI86" s="8">
        <v>10</v>
      </c>
      <c r="AJ86" s="8">
        <v>4</v>
      </c>
      <c r="AK86" s="8">
        <f>19+14</f>
        <v>33</v>
      </c>
      <c r="AL86" s="8">
        <v>14</v>
      </c>
      <c r="AM86" s="8">
        <v>5</v>
      </c>
      <c r="AN86" s="8">
        <v>2</v>
      </c>
      <c r="AO86" s="8">
        <v>4</v>
      </c>
      <c r="AP86" s="8">
        <v>2</v>
      </c>
      <c r="AQ86" s="8">
        <v>0</v>
      </c>
      <c r="AR86" s="8">
        <v>1</v>
      </c>
      <c r="AS86" s="8">
        <f t="shared" si="8"/>
        <v>28</v>
      </c>
      <c r="AT86" s="8">
        <v>4</v>
      </c>
      <c r="AU86" s="8">
        <v>19</v>
      </c>
      <c r="AV86" s="8">
        <v>5</v>
      </c>
      <c r="AW86" s="8">
        <v>0</v>
      </c>
      <c r="AX86" s="8">
        <v>0</v>
      </c>
    </row>
    <row r="87" spans="1:50" x14ac:dyDescent="0.35">
      <c r="A87" s="23" t="s">
        <v>131</v>
      </c>
      <c r="B87" s="16">
        <v>63845</v>
      </c>
      <c r="C87" s="34">
        <v>28</v>
      </c>
      <c r="D87" s="34">
        <f>35+16</f>
        <v>51</v>
      </c>
      <c r="E87" s="35">
        <v>22</v>
      </c>
      <c r="F87" s="35">
        <v>4</v>
      </c>
      <c r="G87" s="35">
        <v>22</v>
      </c>
      <c r="H87" s="35">
        <v>3</v>
      </c>
      <c r="I87" s="35">
        <v>0</v>
      </c>
      <c r="J87" s="35">
        <v>0</v>
      </c>
      <c r="K87" s="35">
        <v>0</v>
      </c>
      <c r="L87" s="35">
        <f t="shared" si="5"/>
        <v>51</v>
      </c>
      <c r="M87" s="35">
        <v>51</v>
      </c>
      <c r="N87" s="35">
        <v>0</v>
      </c>
      <c r="O87" s="35">
        <v>0</v>
      </c>
      <c r="P87" s="35">
        <f t="shared" si="6"/>
        <v>51</v>
      </c>
      <c r="Q87" s="35">
        <v>4</v>
      </c>
      <c r="R87" s="35">
        <v>8</v>
      </c>
      <c r="S87" s="35">
        <v>11</v>
      </c>
      <c r="T87" s="35">
        <v>13</v>
      </c>
      <c r="U87" s="35">
        <v>11</v>
      </c>
      <c r="V87" s="35">
        <v>1</v>
      </c>
      <c r="W87" s="35">
        <v>3</v>
      </c>
      <c r="X87" s="35">
        <f t="shared" si="7"/>
        <v>51</v>
      </c>
      <c r="Y87" s="35">
        <f>119+36</f>
        <v>155</v>
      </c>
      <c r="Z87" s="35">
        <f>232+41</f>
        <v>273</v>
      </c>
      <c r="AA87" s="35">
        <v>25</v>
      </c>
      <c r="AB87" s="35">
        <v>78</v>
      </c>
      <c r="AC87" s="35">
        <f>21+18</f>
        <v>39</v>
      </c>
      <c r="AD87" s="35">
        <v>1</v>
      </c>
      <c r="AE87" s="35">
        <f>14+12</f>
        <v>26</v>
      </c>
      <c r="AF87" s="35">
        <v>3</v>
      </c>
      <c r="AG87" s="35">
        <f>181+184</f>
        <v>365</v>
      </c>
      <c r="AH87" s="35">
        <v>6</v>
      </c>
      <c r="AI87" s="35">
        <v>8</v>
      </c>
      <c r="AJ87" s="35">
        <v>0</v>
      </c>
      <c r="AK87" s="35">
        <f>759+384</f>
        <v>1143</v>
      </c>
      <c r="AL87" s="35">
        <v>4</v>
      </c>
      <c r="AM87" s="35">
        <v>0</v>
      </c>
      <c r="AN87" s="35">
        <v>9</v>
      </c>
      <c r="AO87" s="35">
        <v>5</v>
      </c>
      <c r="AP87" s="35">
        <v>15</v>
      </c>
      <c r="AQ87" s="35">
        <v>5</v>
      </c>
      <c r="AR87" s="35">
        <v>13</v>
      </c>
      <c r="AS87" s="35">
        <f t="shared" si="8"/>
        <v>51</v>
      </c>
      <c r="AT87" s="35">
        <v>26</v>
      </c>
      <c r="AU87" s="35">
        <v>8</v>
      </c>
      <c r="AV87" s="35">
        <v>7</v>
      </c>
      <c r="AW87" s="35">
        <v>7</v>
      </c>
      <c r="AX87" s="35">
        <v>2</v>
      </c>
    </row>
    <row r="88" spans="1:50" x14ac:dyDescent="0.35">
      <c r="A88" s="23" t="s">
        <v>181</v>
      </c>
      <c r="B88" s="17">
        <v>35794</v>
      </c>
      <c r="C88" s="33">
        <v>14</v>
      </c>
      <c r="D88" s="33">
        <v>5</v>
      </c>
      <c r="E88" s="8">
        <v>1</v>
      </c>
      <c r="F88" s="8">
        <v>2</v>
      </c>
      <c r="G88" s="8">
        <v>0</v>
      </c>
      <c r="H88" s="8">
        <v>2</v>
      </c>
      <c r="I88" s="8">
        <v>0</v>
      </c>
      <c r="J88" s="8">
        <v>0</v>
      </c>
      <c r="K88" s="8">
        <v>0</v>
      </c>
      <c r="L88" s="8">
        <f t="shared" si="5"/>
        <v>5</v>
      </c>
      <c r="M88" s="8">
        <v>5</v>
      </c>
      <c r="N88" s="8">
        <v>0</v>
      </c>
      <c r="O88" s="8">
        <v>0</v>
      </c>
      <c r="P88" s="8">
        <f t="shared" si="6"/>
        <v>5</v>
      </c>
      <c r="Q88" s="8">
        <v>0</v>
      </c>
      <c r="R88" s="8">
        <v>0</v>
      </c>
      <c r="S88" s="8">
        <v>0</v>
      </c>
      <c r="T88" s="8">
        <v>1</v>
      </c>
      <c r="U88" s="8">
        <v>4</v>
      </c>
      <c r="V88" s="8">
        <v>0</v>
      </c>
      <c r="W88" s="8">
        <v>0</v>
      </c>
      <c r="X88" s="8">
        <f t="shared" si="7"/>
        <v>5</v>
      </c>
      <c r="Y88" s="8">
        <v>46</v>
      </c>
      <c r="Z88" s="8">
        <v>16</v>
      </c>
      <c r="AA88" s="8">
        <v>15</v>
      </c>
      <c r="AB88" s="8">
        <v>8</v>
      </c>
      <c r="AC88" s="8">
        <v>44</v>
      </c>
      <c r="AD88" s="8">
        <v>1</v>
      </c>
      <c r="AE88" s="8">
        <v>0</v>
      </c>
      <c r="AF88" s="8">
        <v>1</v>
      </c>
      <c r="AG88" s="8">
        <v>0</v>
      </c>
      <c r="AH88" s="8">
        <v>0</v>
      </c>
      <c r="AI88" s="8">
        <v>17</v>
      </c>
      <c r="AJ88" s="8">
        <v>5</v>
      </c>
      <c r="AK88" s="8">
        <v>33</v>
      </c>
      <c r="AL88" s="8">
        <v>0</v>
      </c>
      <c r="AM88" s="8">
        <v>3</v>
      </c>
      <c r="AN88" s="8">
        <v>0</v>
      </c>
      <c r="AO88" s="8">
        <v>2</v>
      </c>
      <c r="AP88" s="8">
        <v>0</v>
      </c>
      <c r="AQ88" s="8">
        <v>0</v>
      </c>
      <c r="AR88" s="8">
        <v>0</v>
      </c>
      <c r="AS88" s="8">
        <f t="shared" si="8"/>
        <v>5</v>
      </c>
      <c r="AT88" s="8">
        <v>0</v>
      </c>
      <c r="AU88" s="8">
        <v>0</v>
      </c>
      <c r="AV88" s="8">
        <v>5</v>
      </c>
      <c r="AW88" s="8">
        <v>0</v>
      </c>
      <c r="AX88" s="8">
        <v>0</v>
      </c>
    </row>
    <row r="89" spans="1:50" x14ac:dyDescent="0.35">
      <c r="A89" s="23" t="s">
        <v>133</v>
      </c>
      <c r="B89" s="16">
        <v>62727</v>
      </c>
      <c r="C89" s="34">
        <v>44</v>
      </c>
      <c r="D89" s="34">
        <v>32</v>
      </c>
      <c r="E89" s="35">
        <v>14</v>
      </c>
      <c r="F89" s="35">
        <v>15</v>
      </c>
      <c r="G89" s="35">
        <v>1</v>
      </c>
      <c r="H89" s="35">
        <v>0</v>
      </c>
      <c r="I89" s="35">
        <v>0</v>
      </c>
      <c r="J89" s="35">
        <v>0</v>
      </c>
      <c r="K89" s="35">
        <v>2</v>
      </c>
      <c r="L89" s="35">
        <f t="shared" si="5"/>
        <v>32</v>
      </c>
      <c r="M89" s="35">
        <v>30</v>
      </c>
      <c r="N89" s="35">
        <v>2</v>
      </c>
      <c r="O89" s="35">
        <v>0</v>
      </c>
      <c r="P89" s="35">
        <f t="shared" si="6"/>
        <v>32</v>
      </c>
      <c r="Q89" s="35">
        <v>1</v>
      </c>
      <c r="R89" s="35">
        <v>0</v>
      </c>
      <c r="S89" s="35">
        <v>12</v>
      </c>
      <c r="T89" s="35">
        <v>15</v>
      </c>
      <c r="U89" s="35">
        <v>3</v>
      </c>
      <c r="V89" s="35">
        <v>1</v>
      </c>
      <c r="W89" s="35">
        <v>0</v>
      </c>
      <c r="X89" s="35">
        <f t="shared" si="7"/>
        <v>32</v>
      </c>
      <c r="Y89" s="35">
        <v>49</v>
      </c>
      <c r="Z89" s="35">
        <v>50</v>
      </c>
      <c r="AA89" s="35">
        <v>30</v>
      </c>
      <c r="AB89" s="35">
        <v>18</v>
      </c>
      <c r="AC89" s="35">
        <v>15</v>
      </c>
      <c r="AD89" s="35">
        <v>14</v>
      </c>
      <c r="AE89" s="35">
        <v>17</v>
      </c>
      <c r="AF89" s="35">
        <v>8</v>
      </c>
      <c r="AG89" s="35">
        <v>32</v>
      </c>
      <c r="AH89" s="35">
        <v>0</v>
      </c>
      <c r="AI89" s="35">
        <v>2</v>
      </c>
      <c r="AJ89" s="35">
        <v>0</v>
      </c>
      <c r="AK89" s="35">
        <f>693+393</f>
        <v>1086</v>
      </c>
      <c r="AL89" s="35">
        <v>12</v>
      </c>
      <c r="AM89" s="35">
        <v>1</v>
      </c>
      <c r="AN89" s="35">
        <v>4</v>
      </c>
      <c r="AO89" s="35">
        <v>0</v>
      </c>
      <c r="AP89" s="35">
        <v>1</v>
      </c>
      <c r="AQ89" s="35">
        <v>0</v>
      </c>
      <c r="AR89" s="35">
        <v>14</v>
      </c>
      <c r="AS89" s="35">
        <f t="shared" si="8"/>
        <v>32</v>
      </c>
      <c r="AT89" s="35">
        <v>11</v>
      </c>
      <c r="AU89" s="35">
        <v>6</v>
      </c>
      <c r="AV89" s="35">
        <v>0</v>
      </c>
      <c r="AW89" s="35">
        <v>2</v>
      </c>
      <c r="AX89" s="35">
        <v>13</v>
      </c>
    </row>
    <row r="90" spans="1:50" x14ac:dyDescent="0.35">
      <c r="A90" s="23" t="s">
        <v>134</v>
      </c>
      <c r="B90" s="17">
        <v>46605</v>
      </c>
      <c r="C90" s="33">
        <v>28</v>
      </c>
      <c r="D90" s="33">
        <v>13</v>
      </c>
      <c r="E90" s="8">
        <v>12</v>
      </c>
      <c r="F90" s="8">
        <v>0</v>
      </c>
      <c r="G90" s="8">
        <v>1</v>
      </c>
      <c r="H90" s="8">
        <v>0</v>
      </c>
      <c r="I90" s="8">
        <v>0</v>
      </c>
      <c r="J90" s="8">
        <v>0</v>
      </c>
      <c r="K90" s="8">
        <v>0</v>
      </c>
      <c r="L90" s="8">
        <f t="shared" si="5"/>
        <v>13</v>
      </c>
      <c r="M90" s="8">
        <v>12</v>
      </c>
      <c r="N90" s="8">
        <v>1</v>
      </c>
      <c r="O90" s="8">
        <v>0</v>
      </c>
      <c r="P90" s="8">
        <f t="shared" si="6"/>
        <v>13</v>
      </c>
      <c r="Q90" s="8">
        <v>2</v>
      </c>
      <c r="R90" s="8">
        <v>4</v>
      </c>
      <c r="S90" s="8">
        <v>1</v>
      </c>
      <c r="T90" s="8">
        <v>2</v>
      </c>
      <c r="U90" s="8">
        <v>1</v>
      </c>
      <c r="V90" s="8">
        <v>2</v>
      </c>
      <c r="W90" s="8">
        <v>1</v>
      </c>
      <c r="X90" s="8">
        <f t="shared" si="7"/>
        <v>13</v>
      </c>
      <c r="Y90" s="8">
        <f>15+23</f>
        <v>38</v>
      </c>
      <c r="Z90" s="8">
        <f>15+25</f>
        <v>40</v>
      </c>
      <c r="AA90" s="8">
        <f>48+37</f>
        <v>85</v>
      </c>
      <c r="AB90" s="8">
        <v>0</v>
      </c>
      <c r="AC90" s="8">
        <f>15+8</f>
        <v>23</v>
      </c>
      <c r="AD90" s="8">
        <v>0</v>
      </c>
      <c r="AE90" s="8">
        <f>5+12</f>
        <v>17</v>
      </c>
      <c r="AF90" s="8">
        <v>0</v>
      </c>
      <c r="AG90" s="8">
        <v>2</v>
      </c>
      <c r="AH90" s="8">
        <v>0</v>
      </c>
      <c r="AI90" s="8">
        <v>31</v>
      </c>
      <c r="AJ90" s="8">
        <v>0</v>
      </c>
      <c r="AK90" s="8">
        <v>455</v>
      </c>
      <c r="AL90" s="8">
        <v>1</v>
      </c>
      <c r="AM90" s="8">
        <v>1</v>
      </c>
      <c r="AN90" s="8">
        <v>4</v>
      </c>
      <c r="AO90" s="8">
        <v>1</v>
      </c>
      <c r="AP90" s="8">
        <v>4</v>
      </c>
      <c r="AQ90" s="8">
        <v>1</v>
      </c>
      <c r="AR90" s="8">
        <v>1</v>
      </c>
      <c r="AS90" s="8">
        <f t="shared" si="8"/>
        <v>13</v>
      </c>
      <c r="AT90" s="8">
        <v>7</v>
      </c>
      <c r="AU90" s="8">
        <v>3</v>
      </c>
      <c r="AV90" s="8">
        <v>2</v>
      </c>
      <c r="AW90" s="8">
        <v>1</v>
      </c>
      <c r="AX90" s="8">
        <v>0</v>
      </c>
    </row>
    <row r="91" spans="1:50" x14ac:dyDescent="0.35">
      <c r="A91" s="23" t="s">
        <v>135</v>
      </c>
      <c r="B91" s="16">
        <v>73116</v>
      </c>
      <c r="C91" s="34">
        <f>40+53</f>
        <v>93</v>
      </c>
      <c r="D91" s="34">
        <v>19</v>
      </c>
      <c r="E91" s="35">
        <v>19</v>
      </c>
      <c r="F91" s="35">
        <v>0</v>
      </c>
      <c r="G91" s="35">
        <v>0</v>
      </c>
      <c r="H91" s="35">
        <v>0</v>
      </c>
      <c r="I91" s="35">
        <v>0</v>
      </c>
      <c r="J91" s="35">
        <v>0</v>
      </c>
      <c r="K91" s="35">
        <v>0</v>
      </c>
      <c r="L91" s="35">
        <f t="shared" si="5"/>
        <v>19</v>
      </c>
      <c r="M91" s="35">
        <v>16</v>
      </c>
      <c r="N91" s="35">
        <v>3</v>
      </c>
      <c r="O91" s="35">
        <v>0</v>
      </c>
      <c r="P91" s="35">
        <f t="shared" si="6"/>
        <v>19</v>
      </c>
      <c r="Q91" s="35">
        <v>2</v>
      </c>
      <c r="R91" s="35">
        <v>1</v>
      </c>
      <c r="S91" s="35">
        <v>2</v>
      </c>
      <c r="T91" s="35">
        <v>8</v>
      </c>
      <c r="U91" s="35">
        <v>5</v>
      </c>
      <c r="V91" s="35">
        <v>0</v>
      </c>
      <c r="W91" s="35">
        <v>1</v>
      </c>
      <c r="X91" s="35">
        <f t="shared" si="7"/>
        <v>19</v>
      </c>
      <c r="Y91" s="35">
        <f>48+62</f>
        <v>110</v>
      </c>
      <c r="Z91" s="35">
        <f>65+58</f>
        <v>123</v>
      </c>
      <c r="AA91" s="35">
        <f>183+142</f>
        <v>325</v>
      </c>
      <c r="AB91" s="35">
        <v>2</v>
      </c>
      <c r="AC91" s="35">
        <v>73</v>
      </c>
      <c r="AD91" s="35">
        <v>0</v>
      </c>
      <c r="AE91" s="35">
        <v>21</v>
      </c>
      <c r="AF91" s="35">
        <v>0</v>
      </c>
      <c r="AG91" s="35">
        <v>48</v>
      </c>
      <c r="AH91" s="35">
        <v>0</v>
      </c>
      <c r="AI91" s="35">
        <f>77+85</f>
        <v>162</v>
      </c>
      <c r="AJ91" s="35">
        <v>8</v>
      </c>
      <c r="AK91" s="35">
        <f>114+172</f>
        <v>286</v>
      </c>
      <c r="AL91" s="35">
        <v>5</v>
      </c>
      <c r="AM91" s="35">
        <v>2</v>
      </c>
      <c r="AN91" s="35">
        <v>1</v>
      </c>
      <c r="AO91" s="35">
        <v>3</v>
      </c>
      <c r="AP91" s="35">
        <v>3</v>
      </c>
      <c r="AQ91" s="35">
        <v>0</v>
      </c>
      <c r="AR91" s="35">
        <v>5</v>
      </c>
      <c r="AS91" s="35">
        <f t="shared" si="8"/>
        <v>19</v>
      </c>
      <c r="AT91" s="35">
        <v>7</v>
      </c>
      <c r="AU91" s="35">
        <v>4</v>
      </c>
      <c r="AV91" s="35">
        <v>7</v>
      </c>
      <c r="AW91" s="35">
        <v>0</v>
      </c>
      <c r="AX91" s="35">
        <v>1</v>
      </c>
    </row>
    <row r="92" spans="1:50" x14ac:dyDescent="0.35">
      <c r="A92" s="23" t="s">
        <v>136</v>
      </c>
      <c r="B92" s="19">
        <v>14730</v>
      </c>
      <c r="C92" s="33">
        <v>26</v>
      </c>
      <c r="D92" s="33">
        <v>7</v>
      </c>
      <c r="E92" s="8">
        <v>7</v>
      </c>
      <c r="F92" s="8">
        <v>0</v>
      </c>
      <c r="G92" s="8">
        <v>0</v>
      </c>
      <c r="H92" s="8">
        <v>0</v>
      </c>
      <c r="I92" s="8">
        <v>0</v>
      </c>
      <c r="J92" s="8">
        <v>0</v>
      </c>
      <c r="K92" s="8">
        <v>0</v>
      </c>
      <c r="L92" s="8">
        <f t="shared" si="5"/>
        <v>7</v>
      </c>
      <c r="M92" s="8">
        <v>3</v>
      </c>
      <c r="N92" s="8">
        <v>4</v>
      </c>
      <c r="O92" s="8">
        <v>0</v>
      </c>
      <c r="P92" s="8">
        <f t="shared" si="6"/>
        <v>7</v>
      </c>
      <c r="Q92" s="8">
        <v>3</v>
      </c>
      <c r="R92" s="8">
        <v>3</v>
      </c>
      <c r="S92" s="8">
        <v>0</v>
      </c>
      <c r="T92" s="8">
        <v>1</v>
      </c>
      <c r="U92" s="8">
        <v>0</v>
      </c>
      <c r="V92" s="8">
        <v>0</v>
      </c>
      <c r="W92" s="8">
        <v>0</v>
      </c>
      <c r="X92" s="8">
        <f t="shared" si="7"/>
        <v>7</v>
      </c>
      <c r="Y92" s="8">
        <v>32</v>
      </c>
      <c r="Z92" s="8">
        <f>26+9</f>
        <v>35</v>
      </c>
      <c r="AA92" s="8">
        <v>5</v>
      </c>
      <c r="AB92" s="8">
        <v>6</v>
      </c>
      <c r="AC92" s="8">
        <v>6</v>
      </c>
      <c r="AD92" s="8">
        <v>1</v>
      </c>
      <c r="AE92" s="8">
        <v>4</v>
      </c>
      <c r="AF92" s="8">
        <v>0</v>
      </c>
      <c r="AG92" s="8">
        <v>24</v>
      </c>
      <c r="AH92" s="8">
        <v>0</v>
      </c>
      <c r="AI92" s="8">
        <v>12</v>
      </c>
      <c r="AJ92" s="8">
        <v>12</v>
      </c>
      <c r="AK92" s="8">
        <v>1004</v>
      </c>
      <c r="AL92" s="8">
        <v>0</v>
      </c>
      <c r="AM92" s="8">
        <v>0</v>
      </c>
      <c r="AN92" s="8">
        <v>0</v>
      </c>
      <c r="AO92" s="8">
        <v>0</v>
      </c>
      <c r="AP92" s="8">
        <v>2</v>
      </c>
      <c r="AQ92" s="8">
        <v>0</v>
      </c>
      <c r="AR92" s="8">
        <v>0</v>
      </c>
      <c r="AS92" s="8">
        <f t="shared" si="8"/>
        <v>2</v>
      </c>
      <c r="AT92" s="8">
        <v>1</v>
      </c>
      <c r="AU92" s="8">
        <v>1</v>
      </c>
      <c r="AV92" s="8">
        <v>0</v>
      </c>
      <c r="AW92" s="8">
        <v>0</v>
      </c>
      <c r="AX92" s="8">
        <v>0</v>
      </c>
    </row>
    <row r="93" spans="1:50" x14ac:dyDescent="0.35">
      <c r="A93" s="23" t="s">
        <v>137</v>
      </c>
      <c r="B93" s="16">
        <v>34575</v>
      </c>
      <c r="C93" s="34">
        <f>402+52</f>
        <v>454</v>
      </c>
      <c r="D93" s="34">
        <f>21+17</f>
        <v>38</v>
      </c>
      <c r="E93" s="35">
        <f>21+15</f>
        <v>36</v>
      </c>
      <c r="F93" s="35">
        <v>2</v>
      </c>
      <c r="G93" s="35">
        <v>0</v>
      </c>
      <c r="H93" s="35">
        <v>0</v>
      </c>
      <c r="I93" s="35">
        <v>0</v>
      </c>
      <c r="J93" s="35">
        <v>0</v>
      </c>
      <c r="K93" s="35">
        <v>0</v>
      </c>
      <c r="L93" s="35">
        <f t="shared" si="5"/>
        <v>38</v>
      </c>
      <c r="M93" s="35">
        <v>32</v>
      </c>
      <c r="N93" s="35">
        <v>6</v>
      </c>
      <c r="O93" s="35">
        <v>0</v>
      </c>
      <c r="P93" s="35">
        <f t="shared" si="6"/>
        <v>38</v>
      </c>
      <c r="Q93" s="35">
        <v>7</v>
      </c>
      <c r="R93" s="35">
        <v>6</v>
      </c>
      <c r="S93" s="35">
        <v>17</v>
      </c>
      <c r="T93" s="35">
        <v>6</v>
      </c>
      <c r="U93" s="35">
        <v>2</v>
      </c>
      <c r="V93" s="35">
        <v>0</v>
      </c>
      <c r="W93" s="35">
        <v>0</v>
      </c>
      <c r="X93" s="35">
        <f t="shared" si="7"/>
        <v>38</v>
      </c>
      <c r="Y93" s="35">
        <f>52+9</f>
        <v>61</v>
      </c>
      <c r="Z93" s="35">
        <f>24+9</f>
        <v>33</v>
      </c>
      <c r="AA93" s="35">
        <v>31</v>
      </c>
      <c r="AB93" s="35">
        <v>5</v>
      </c>
      <c r="AC93" s="35">
        <v>35</v>
      </c>
      <c r="AD93" s="35">
        <v>1</v>
      </c>
      <c r="AE93" s="35">
        <v>15</v>
      </c>
      <c r="AF93" s="35">
        <v>0</v>
      </c>
      <c r="AG93" s="35">
        <f>16+33</f>
        <v>49</v>
      </c>
      <c r="AH93" s="35">
        <f>14+21</f>
        <v>35</v>
      </c>
      <c r="AI93" s="35">
        <f>35+14</f>
        <v>49</v>
      </c>
      <c r="AJ93" s="35">
        <v>12</v>
      </c>
      <c r="AK93" s="35">
        <f>4284+9341</f>
        <v>13625</v>
      </c>
      <c r="AL93" s="35">
        <v>13</v>
      </c>
      <c r="AM93" s="35">
        <v>7</v>
      </c>
      <c r="AN93" s="35">
        <v>3</v>
      </c>
      <c r="AO93" s="35">
        <v>2</v>
      </c>
      <c r="AP93" s="35">
        <v>0</v>
      </c>
      <c r="AQ93" s="35">
        <v>8</v>
      </c>
      <c r="AR93" s="35">
        <v>5</v>
      </c>
      <c r="AS93" s="35">
        <f t="shared" si="8"/>
        <v>38</v>
      </c>
      <c r="AT93" s="35">
        <v>17</v>
      </c>
      <c r="AU93" s="35">
        <v>12</v>
      </c>
      <c r="AV93" s="35">
        <v>7</v>
      </c>
      <c r="AW93" s="35">
        <v>0</v>
      </c>
      <c r="AX93" s="35">
        <v>2</v>
      </c>
    </row>
    <row r="94" spans="1:50" x14ac:dyDescent="0.35">
      <c r="A94" s="23" t="s">
        <v>138</v>
      </c>
      <c r="B94" s="17">
        <v>4310</v>
      </c>
      <c r="C94" s="33">
        <v>34</v>
      </c>
      <c r="D94" s="33">
        <v>3</v>
      </c>
      <c r="E94" s="8">
        <v>2</v>
      </c>
      <c r="F94" s="8">
        <v>0</v>
      </c>
      <c r="G94" s="8">
        <v>1</v>
      </c>
      <c r="H94" s="8">
        <v>0</v>
      </c>
      <c r="I94" s="8">
        <v>0</v>
      </c>
      <c r="J94" s="8">
        <v>0</v>
      </c>
      <c r="K94" s="8">
        <v>0</v>
      </c>
      <c r="L94" s="8">
        <f t="shared" si="5"/>
        <v>3</v>
      </c>
      <c r="M94" s="8">
        <v>3</v>
      </c>
      <c r="N94" s="8">
        <v>0</v>
      </c>
      <c r="O94" s="8">
        <v>0</v>
      </c>
      <c r="P94" s="8">
        <f t="shared" si="6"/>
        <v>3</v>
      </c>
      <c r="Q94" s="8">
        <v>0</v>
      </c>
      <c r="R94" s="8">
        <v>0</v>
      </c>
      <c r="S94" s="8">
        <v>0</v>
      </c>
      <c r="T94" s="8">
        <v>2</v>
      </c>
      <c r="U94" s="8">
        <v>1</v>
      </c>
      <c r="V94" s="8">
        <v>0</v>
      </c>
      <c r="W94" s="8">
        <v>0</v>
      </c>
      <c r="X94" s="8">
        <f t="shared" si="7"/>
        <v>3</v>
      </c>
      <c r="Y94" s="8">
        <f>3835+4288</f>
        <v>8123</v>
      </c>
      <c r="Z94" s="8">
        <f>127+195</f>
        <v>322</v>
      </c>
      <c r="AA94" s="8">
        <v>222</v>
      </c>
      <c r="AB94" s="8">
        <v>2</v>
      </c>
      <c r="AC94" s="8">
        <v>106</v>
      </c>
      <c r="AD94" s="8">
        <v>1</v>
      </c>
      <c r="AE94" s="8">
        <v>16</v>
      </c>
      <c r="AF94" s="8">
        <v>0</v>
      </c>
      <c r="AG94" s="8">
        <v>8</v>
      </c>
      <c r="AH94" s="8">
        <v>33</v>
      </c>
      <c r="AI94" s="8">
        <f>13+15</f>
        <v>28</v>
      </c>
      <c r="AJ94" s="8">
        <f>9+18</f>
        <v>27</v>
      </c>
      <c r="AK94" s="8">
        <f>2675+1287</f>
        <v>3962</v>
      </c>
      <c r="AL94" s="8">
        <v>1</v>
      </c>
      <c r="AM94" s="8">
        <v>0</v>
      </c>
      <c r="AN94" s="8">
        <v>0</v>
      </c>
      <c r="AO94" s="8">
        <v>0</v>
      </c>
      <c r="AP94" s="8">
        <v>0</v>
      </c>
      <c r="AQ94" s="8">
        <v>0</v>
      </c>
      <c r="AR94" s="8">
        <v>0</v>
      </c>
      <c r="AS94" s="8">
        <f t="shared" si="8"/>
        <v>1</v>
      </c>
      <c r="AT94" s="8">
        <v>0</v>
      </c>
      <c r="AU94" s="8">
        <v>0</v>
      </c>
      <c r="AV94" s="8">
        <v>3</v>
      </c>
      <c r="AW94" s="8">
        <v>0</v>
      </c>
      <c r="AX94" s="8">
        <v>0</v>
      </c>
    </row>
    <row r="95" spans="1:50" x14ac:dyDescent="0.35">
      <c r="A95" s="23" t="s">
        <v>139</v>
      </c>
      <c r="B95" s="16">
        <v>228492</v>
      </c>
      <c r="C95" s="34">
        <f>110+137</f>
        <v>247</v>
      </c>
      <c r="D95" s="34">
        <f>52+29</f>
        <v>81</v>
      </c>
      <c r="E95" s="35">
        <f>32+21</f>
        <v>53</v>
      </c>
      <c r="F95" s="35">
        <v>14</v>
      </c>
      <c r="G95" s="35">
        <v>11</v>
      </c>
      <c r="H95" s="35">
        <v>0</v>
      </c>
      <c r="I95" s="35">
        <v>0</v>
      </c>
      <c r="J95" s="35">
        <v>0</v>
      </c>
      <c r="K95" s="35">
        <v>3</v>
      </c>
      <c r="L95" s="35">
        <f t="shared" si="5"/>
        <v>81</v>
      </c>
      <c r="M95" s="35">
        <f>52+26</f>
        <v>78</v>
      </c>
      <c r="N95" s="35">
        <v>3</v>
      </c>
      <c r="O95" s="35">
        <v>0</v>
      </c>
      <c r="P95" s="35">
        <f t="shared" si="6"/>
        <v>81</v>
      </c>
      <c r="Q95" s="35">
        <v>5</v>
      </c>
      <c r="R95" s="35">
        <v>14</v>
      </c>
      <c r="S95" s="35">
        <f>19+6</f>
        <v>25</v>
      </c>
      <c r="T95" s="35">
        <f>17+8</f>
        <v>25</v>
      </c>
      <c r="U95" s="35">
        <v>12</v>
      </c>
      <c r="V95" s="35">
        <v>0</v>
      </c>
      <c r="W95" s="35">
        <v>0</v>
      </c>
      <c r="X95" s="35">
        <f t="shared" si="7"/>
        <v>81</v>
      </c>
      <c r="Y95" s="35">
        <f>82+74</f>
        <v>156</v>
      </c>
      <c r="Z95" s="35">
        <f>90+74</f>
        <v>164</v>
      </c>
      <c r="AA95" s="35">
        <f>82+67</f>
        <v>149</v>
      </c>
      <c r="AB95" s="35">
        <v>4</v>
      </c>
      <c r="AC95" s="35">
        <v>0</v>
      </c>
      <c r="AD95" s="35">
        <v>36</v>
      </c>
      <c r="AE95" s="35">
        <v>33</v>
      </c>
      <c r="AF95" s="35">
        <v>0</v>
      </c>
      <c r="AG95" s="35">
        <v>3</v>
      </c>
      <c r="AH95" s="35">
        <v>0</v>
      </c>
      <c r="AI95" s="35">
        <f>21+28</f>
        <v>49</v>
      </c>
      <c r="AJ95" s="35">
        <v>0</v>
      </c>
      <c r="AK95" s="35">
        <f>2616+491</f>
        <v>3107</v>
      </c>
      <c r="AL95" s="35">
        <f>33+18</f>
        <v>51</v>
      </c>
      <c r="AM95" s="35">
        <v>2</v>
      </c>
      <c r="AN95" s="35">
        <v>7</v>
      </c>
      <c r="AO95" s="35">
        <v>0</v>
      </c>
      <c r="AP95" s="35">
        <v>15</v>
      </c>
      <c r="AQ95" s="35">
        <v>0</v>
      </c>
      <c r="AR95" s="35">
        <v>6</v>
      </c>
      <c r="AS95" s="35">
        <f t="shared" si="8"/>
        <v>81</v>
      </c>
      <c r="AT95" s="35">
        <v>17</v>
      </c>
      <c r="AU95" s="35">
        <f>18+9</f>
        <v>27</v>
      </c>
      <c r="AV95" s="35">
        <v>14</v>
      </c>
      <c r="AW95" s="35">
        <v>2</v>
      </c>
      <c r="AX95" s="35">
        <v>14</v>
      </c>
    </row>
    <row r="96" spans="1:50" x14ac:dyDescent="0.35">
      <c r="A96" s="23" t="s">
        <v>140</v>
      </c>
      <c r="B96" s="17">
        <v>45129</v>
      </c>
      <c r="C96" s="34">
        <v>423</v>
      </c>
      <c r="D96" s="34">
        <v>2</v>
      </c>
      <c r="E96" s="35">
        <v>0</v>
      </c>
      <c r="F96" s="35">
        <v>2</v>
      </c>
      <c r="G96" s="35">
        <v>0</v>
      </c>
      <c r="H96" s="35">
        <v>0</v>
      </c>
      <c r="I96" s="35">
        <v>0</v>
      </c>
      <c r="J96" s="35">
        <v>0</v>
      </c>
      <c r="K96" s="35">
        <v>0</v>
      </c>
      <c r="L96" s="35">
        <f t="shared" si="5"/>
        <v>2</v>
      </c>
      <c r="M96" s="35">
        <v>2</v>
      </c>
      <c r="N96" s="35">
        <v>0</v>
      </c>
      <c r="O96" s="35">
        <v>0</v>
      </c>
      <c r="P96" s="35">
        <f t="shared" si="6"/>
        <v>2</v>
      </c>
      <c r="Q96" s="35">
        <v>0</v>
      </c>
      <c r="R96" s="35">
        <v>0</v>
      </c>
      <c r="S96" s="35">
        <v>0</v>
      </c>
      <c r="T96" s="35">
        <v>2</v>
      </c>
      <c r="U96" s="35">
        <v>0</v>
      </c>
      <c r="V96" s="35">
        <v>0</v>
      </c>
      <c r="W96" s="35">
        <v>0</v>
      </c>
      <c r="X96" s="35">
        <f t="shared" si="7"/>
        <v>2</v>
      </c>
      <c r="Y96" s="35">
        <v>2</v>
      </c>
      <c r="Z96" s="35">
        <v>2</v>
      </c>
      <c r="AA96" s="35">
        <v>2</v>
      </c>
      <c r="AB96" s="35">
        <v>1</v>
      </c>
      <c r="AC96" s="35">
        <v>2</v>
      </c>
      <c r="AD96" s="35">
        <v>0</v>
      </c>
      <c r="AE96" s="35">
        <v>2</v>
      </c>
      <c r="AF96" s="35">
        <v>0</v>
      </c>
      <c r="AG96" s="35">
        <f>8+16</f>
        <v>24</v>
      </c>
      <c r="AH96" s="35">
        <v>0</v>
      </c>
      <c r="AI96" s="35">
        <v>35</v>
      </c>
      <c r="AJ96" s="35">
        <v>14</v>
      </c>
      <c r="AK96" s="35">
        <f>320+513</f>
        <v>833</v>
      </c>
      <c r="AL96" s="35">
        <v>0</v>
      </c>
      <c r="AM96" s="35">
        <v>0</v>
      </c>
      <c r="AN96" s="35">
        <v>0</v>
      </c>
      <c r="AO96" s="35">
        <v>2</v>
      </c>
      <c r="AP96" s="35">
        <v>0</v>
      </c>
      <c r="AQ96" s="35">
        <v>0</v>
      </c>
      <c r="AR96" s="35">
        <v>0</v>
      </c>
      <c r="AS96" s="35">
        <f t="shared" si="8"/>
        <v>2</v>
      </c>
      <c r="AT96" s="35">
        <v>2</v>
      </c>
      <c r="AU96" s="35">
        <v>0</v>
      </c>
      <c r="AV96" s="35">
        <v>0</v>
      </c>
      <c r="AW96" s="35">
        <v>0</v>
      </c>
      <c r="AX96" s="35">
        <v>0</v>
      </c>
    </row>
    <row r="97" spans="1:50" x14ac:dyDescent="0.35">
      <c r="A97" s="23" t="s">
        <v>141</v>
      </c>
      <c r="B97" s="16">
        <v>1052120</v>
      </c>
      <c r="C97" s="33">
        <v>412</v>
      </c>
      <c r="D97" s="33">
        <f>33+234</f>
        <v>267</v>
      </c>
      <c r="E97" s="8">
        <f>14+104</f>
        <v>118</v>
      </c>
      <c r="F97" s="8">
        <v>78</v>
      </c>
      <c r="G97" s="8">
        <v>22</v>
      </c>
      <c r="H97" s="8">
        <v>1</v>
      </c>
      <c r="I97" s="8">
        <v>8</v>
      </c>
      <c r="J97" s="8">
        <v>32</v>
      </c>
      <c r="K97" s="8">
        <v>8</v>
      </c>
      <c r="L97" s="8">
        <f t="shared" si="5"/>
        <v>267</v>
      </c>
      <c r="M97" s="8">
        <f>31+227</f>
        <v>258</v>
      </c>
      <c r="N97" s="8">
        <v>9</v>
      </c>
      <c r="O97" s="8">
        <v>0</v>
      </c>
      <c r="P97" s="8">
        <f t="shared" si="6"/>
        <v>267</v>
      </c>
      <c r="Q97" s="8">
        <v>0</v>
      </c>
      <c r="R97" s="8">
        <v>11</v>
      </c>
      <c r="S97" s="8">
        <v>70</v>
      </c>
      <c r="T97" s="8">
        <f>99+15</f>
        <v>114</v>
      </c>
      <c r="U97" s="8">
        <f>7+51</f>
        <v>58</v>
      </c>
      <c r="V97" s="8">
        <v>3</v>
      </c>
      <c r="W97" s="8">
        <v>11</v>
      </c>
      <c r="X97" s="8">
        <f t="shared" si="7"/>
        <v>267</v>
      </c>
      <c r="Y97" s="8">
        <v>388</v>
      </c>
      <c r="Z97" s="8">
        <f>14+286</f>
        <v>300</v>
      </c>
      <c r="AA97" s="8">
        <v>194</v>
      </c>
      <c r="AB97" s="8">
        <v>29</v>
      </c>
      <c r="AC97" s="8">
        <f>13+315</f>
        <v>328</v>
      </c>
      <c r="AD97" s="8">
        <v>59</v>
      </c>
      <c r="AE97" s="8">
        <v>132</v>
      </c>
      <c r="AF97" s="8">
        <v>4</v>
      </c>
      <c r="AG97" s="8">
        <v>15</v>
      </c>
      <c r="AH97" s="8">
        <v>0</v>
      </c>
      <c r="AI97" s="8">
        <v>81</v>
      </c>
      <c r="AJ97" s="8">
        <v>16</v>
      </c>
      <c r="AK97" s="8">
        <v>1117</v>
      </c>
      <c r="AL97" s="8">
        <f>31+198</f>
        <v>229</v>
      </c>
      <c r="AM97" s="8">
        <v>3</v>
      </c>
      <c r="AN97" s="8">
        <v>12</v>
      </c>
      <c r="AO97" s="8">
        <v>4</v>
      </c>
      <c r="AP97" s="8">
        <v>11</v>
      </c>
      <c r="AQ97" s="8">
        <v>4</v>
      </c>
      <c r="AR97" s="8">
        <v>4</v>
      </c>
      <c r="AS97" s="8">
        <f t="shared" si="8"/>
        <v>267</v>
      </c>
      <c r="AT97" s="8">
        <v>11</v>
      </c>
      <c r="AU97" s="8">
        <f>3+23</f>
        <v>26</v>
      </c>
      <c r="AV97" s="8">
        <f>6+46</f>
        <v>52</v>
      </c>
      <c r="AW97" s="8">
        <v>11</v>
      </c>
      <c r="AX97" s="8">
        <f>22+245</f>
        <v>267</v>
      </c>
    </row>
    <row r="98" spans="1:50" x14ac:dyDescent="0.35">
      <c r="A98" s="23" t="s">
        <v>182</v>
      </c>
      <c r="B98" s="17">
        <v>20234</v>
      </c>
      <c r="C98" s="34">
        <f>434+95</f>
        <v>529</v>
      </c>
      <c r="D98" s="34">
        <v>2</v>
      </c>
      <c r="E98" s="35">
        <v>1</v>
      </c>
      <c r="F98" s="35">
        <v>1</v>
      </c>
      <c r="G98" s="35">
        <v>0</v>
      </c>
      <c r="H98" s="35">
        <v>0</v>
      </c>
      <c r="I98" s="35">
        <v>0</v>
      </c>
      <c r="J98" s="35">
        <v>0</v>
      </c>
      <c r="K98" s="35">
        <v>0</v>
      </c>
      <c r="L98" s="35">
        <f t="shared" si="5"/>
        <v>2</v>
      </c>
      <c r="M98" s="35">
        <v>2</v>
      </c>
      <c r="N98" s="35">
        <v>0</v>
      </c>
      <c r="O98" s="35">
        <v>0</v>
      </c>
      <c r="P98" s="35">
        <f t="shared" si="6"/>
        <v>2</v>
      </c>
      <c r="Q98" s="35">
        <v>0</v>
      </c>
      <c r="R98" s="35">
        <v>1</v>
      </c>
      <c r="S98" s="35">
        <v>0</v>
      </c>
      <c r="T98" s="35">
        <v>1</v>
      </c>
      <c r="U98" s="35">
        <v>0</v>
      </c>
      <c r="V98" s="35">
        <v>0</v>
      </c>
      <c r="W98" s="35">
        <v>0</v>
      </c>
      <c r="X98" s="35">
        <f t="shared" si="7"/>
        <v>2</v>
      </c>
      <c r="Y98" s="35">
        <v>0</v>
      </c>
      <c r="Z98" s="35">
        <v>2</v>
      </c>
      <c r="AA98" s="35">
        <v>0</v>
      </c>
      <c r="AB98" s="35">
        <v>1</v>
      </c>
      <c r="AC98" s="35">
        <v>0</v>
      </c>
      <c r="AD98" s="35">
        <v>0</v>
      </c>
      <c r="AE98" s="35">
        <v>0</v>
      </c>
      <c r="AF98" s="35">
        <v>0</v>
      </c>
      <c r="AG98" s="35">
        <v>16</v>
      </c>
      <c r="AH98" s="35">
        <v>0</v>
      </c>
      <c r="AI98" s="35">
        <f>8+95</f>
        <v>103</v>
      </c>
      <c r="AJ98" s="35">
        <v>4</v>
      </c>
      <c r="AK98" s="35">
        <f>320+513</f>
        <v>833</v>
      </c>
      <c r="AL98" s="35">
        <v>1</v>
      </c>
      <c r="AM98" s="35">
        <v>0</v>
      </c>
      <c r="AN98" s="35">
        <v>0</v>
      </c>
      <c r="AO98" s="35">
        <v>0</v>
      </c>
      <c r="AP98" s="35">
        <v>0</v>
      </c>
      <c r="AQ98" s="35">
        <v>1</v>
      </c>
      <c r="AR98" s="35">
        <v>0</v>
      </c>
      <c r="AS98" s="35">
        <f t="shared" si="8"/>
        <v>2</v>
      </c>
      <c r="AT98" s="35">
        <v>1</v>
      </c>
      <c r="AU98" s="35">
        <v>1</v>
      </c>
      <c r="AV98" s="35">
        <v>0</v>
      </c>
      <c r="AW98" s="35">
        <v>0</v>
      </c>
      <c r="AX98" s="35">
        <v>0</v>
      </c>
    </row>
    <row r="99" spans="1:50" x14ac:dyDescent="0.35">
      <c r="A99" s="23" t="s">
        <v>143</v>
      </c>
      <c r="B99" s="16">
        <v>12324</v>
      </c>
      <c r="C99" s="33">
        <f>43+21</f>
        <v>64</v>
      </c>
      <c r="D99" s="33">
        <v>6</v>
      </c>
      <c r="E99" s="8">
        <v>3</v>
      </c>
      <c r="F99" s="8">
        <v>2</v>
      </c>
      <c r="G99" s="8">
        <v>1</v>
      </c>
      <c r="H99" s="8">
        <v>0</v>
      </c>
      <c r="I99" s="8">
        <v>0</v>
      </c>
      <c r="J99" s="8">
        <v>0</v>
      </c>
      <c r="K99" s="8">
        <v>0</v>
      </c>
      <c r="L99" s="8">
        <f t="shared" si="5"/>
        <v>6</v>
      </c>
      <c r="M99" s="8">
        <v>6</v>
      </c>
      <c r="N99" s="8">
        <v>0</v>
      </c>
      <c r="O99" s="8">
        <v>0</v>
      </c>
      <c r="P99" s="8">
        <f t="shared" si="6"/>
        <v>6</v>
      </c>
      <c r="Q99" s="8">
        <v>0</v>
      </c>
      <c r="R99" s="8">
        <v>2</v>
      </c>
      <c r="S99" s="8">
        <v>1</v>
      </c>
      <c r="T99" s="8">
        <v>1</v>
      </c>
      <c r="U99" s="8">
        <v>0</v>
      </c>
      <c r="V99" s="8">
        <v>2</v>
      </c>
      <c r="W99" s="8">
        <v>0</v>
      </c>
      <c r="X99" s="8">
        <f t="shared" si="7"/>
        <v>6</v>
      </c>
      <c r="Y99" s="8">
        <f>19+19</f>
        <v>38</v>
      </c>
      <c r="Z99" s="8">
        <f>27+21</f>
        <v>48</v>
      </c>
      <c r="AA99" s="8">
        <v>4</v>
      </c>
      <c r="AB99" s="8">
        <v>0</v>
      </c>
      <c r="AC99" s="8">
        <v>2</v>
      </c>
      <c r="AD99" s="8">
        <v>0</v>
      </c>
      <c r="AE99" s="8">
        <v>0</v>
      </c>
      <c r="AF99" s="8">
        <v>0</v>
      </c>
      <c r="AG99" s="8">
        <v>0</v>
      </c>
      <c r="AH99" s="8">
        <v>0</v>
      </c>
      <c r="AI99" s="8">
        <v>12</v>
      </c>
      <c r="AJ99" s="8">
        <v>16</v>
      </c>
      <c r="AK99" s="8">
        <f>192+192</f>
        <v>384</v>
      </c>
      <c r="AL99" s="8">
        <v>3</v>
      </c>
      <c r="AM99" s="8">
        <v>0</v>
      </c>
      <c r="AN99" s="8">
        <v>0</v>
      </c>
      <c r="AO99" s="8">
        <v>0</v>
      </c>
      <c r="AP99" s="8">
        <v>2</v>
      </c>
      <c r="AQ99" s="8">
        <v>1</v>
      </c>
      <c r="AR99" s="8">
        <v>0</v>
      </c>
      <c r="AS99" s="8">
        <f t="shared" si="8"/>
        <v>6</v>
      </c>
      <c r="AT99" s="8">
        <v>2</v>
      </c>
      <c r="AU99" s="8">
        <v>4</v>
      </c>
      <c r="AV99" s="8">
        <v>0</v>
      </c>
      <c r="AW99" s="8">
        <v>0</v>
      </c>
      <c r="AX99" s="8">
        <v>2</v>
      </c>
    </row>
    <row r="100" spans="1:50" x14ac:dyDescent="0.35">
      <c r="A100" s="23" t="s">
        <v>144</v>
      </c>
      <c r="B100" s="17">
        <v>56418</v>
      </c>
      <c r="C100" s="34">
        <f>112+56</f>
        <v>168</v>
      </c>
      <c r="D100" s="34">
        <f>18+13</f>
        <v>31</v>
      </c>
      <c r="E100" s="35">
        <v>20</v>
      </c>
      <c r="F100" s="35">
        <v>2</v>
      </c>
      <c r="G100" s="35">
        <v>5</v>
      </c>
      <c r="H100" s="35">
        <v>0</v>
      </c>
      <c r="I100" s="35">
        <v>0</v>
      </c>
      <c r="J100" s="35">
        <v>2</v>
      </c>
      <c r="K100" s="35">
        <v>2</v>
      </c>
      <c r="L100" s="35">
        <f t="shared" si="5"/>
        <v>31</v>
      </c>
      <c r="M100" s="35">
        <v>31</v>
      </c>
      <c r="N100" s="35">
        <v>0</v>
      </c>
      <c r="O100" s="35">
        <v>0</v>
      </c>
      <c r="P100" s="35">
        <f t="shared" si="6"/>
        <v>31</v>
      </c>
      <c r="Q100" s="35">
        <v>2</v>
      </c>
      <c r="R100" s="35">
        <v>2</v>
      </c>
      <c r="S100" s="35">
        <v>14</v>
      </c>
      <c r="T100" s="35">
        <v>2</v>
      </c>
      <c r="U100" s="35">
        <v>6</v>
      </c>
      <c r="V100" s="35">
        <v>1</v>
      </c>
      <c r="W100" s="35">
        <v>4</v>
      </c>
      <c r="X100" s="35">
        <f t="shared" si="7"/>
        <v>31</v>
      </c>
      <c r="Y100" s="35">
        <f>44+48</f>
        <v>92</v>
      </c>
      <c r="Z100" s="35">
        <f>28+25</f>
        <v>53</v>
      </c>
      <c r="AA100" s="35">
        <f>19+16</f>
        <v>35</v>
      </c>
      <c r="AB100" s="35">
        <v>5</v>
      </c>
      <c r="AC100" s="35">
        <f>18+14</f>
        <v>32</v>
      </c>
      <c r="AD100" s="35">
        <v>14</v>
      </c>
      <c r="AE100" s="35">
        <f>19+36</f>
        <v>55</v>
      </c>
      <c r="AF100" s="35">
        <v>0</v>
      </c>
      <c r="AG100" s="35">
        <v>0</v>
      </c>
      <c r="AH100" s="35">
        <v>0</v>
      </c>
      <c r="AI100" s="35">
        <f>31+33</f>
        <v>64</v>
      </c>
      <c r="AJ100" s="35">
        <f>4+13</f>
        <v>17</v>
      </c>
      <c r="AK100" s="35">
        <f>1380+2452</f>
        <v>3832</v>
      </c>
      <c r="AL100" s="35">
        <v>26</v>
      </c>
      <c r="AM100" s="35">
        <v>0</v>
      </c>
      <c r="AN100" s="35">
        <v>1</v>
      </c>
      <c r="AO100" s="35">
        <v>0</v>
      </c>
      <c r="AP100" s="35">
        <v>2</v>
      </c>
      <c r="AQ100" s="35">
        <v>0</v>
      </c>
      <c r="AR100" s="35">
        <v>2</v>
      </c>
      <c r="AS100" s="35">
        <f t="shared" si="8"/>
        <v>31</v>
      </c>
      <c r="AT100" s="35">
        <v>3</v>
      </c>
      <c r="AU100" s="35">
        <v>16</v>
      </c>
      <c r="AV100" s="35">
        <v>2</v>
      </c>
      <c r="AW100" s="35">
        <v>3</v>
      </c>
      <c r="AX100" s="35">
        <v>7</v>
      </c>
    </row>
    <row r="101" spans="1:50" x14ac:dyDescent="0.35">
      <c r="A101" s="23" t="s">
        <v>183</v>
      </c>
      <c r="B101" s="16">
        <v>124227</v>
      </c>
      <c r="C101" s="33">
        <v>11</v>
      </c>
      <c r="D101" s="33">
        <f>29+43</f>
        <v>72</v>
      </c>
      <c r="E101" s="8">
        <v>25</v>
      </c>
      <c r="F101" s="8">
        <v>43</v>
      </c>
      <c r="G101" s="8">
        <v>4</v>
      </c>
      <c r="H101" s="8">
        <v>0</v>
      </c>
      <c r="I101" s="8">
        <v>0</v>
      </c>
      <c r="J101" s="8">
        <v>0</v>
      </c>
      <c r="K101" s="8">
        <v>0</v>
      </c>
      <c r="L101" s="8">
        <f t="shared" si="5"/>
        <v>72</v>
      </c>
      <c r="M101" s="8">
        <f>21+33</f>
        <v>54</v>
      </c>
      <c r="N101" s="8">
        <v>18</v>
      </c>
      <c r="O101" s="8">
        <v>0</v>
      </c>
      <c r="P101" s="8">
        <f t="shared" si="6"/>
        <v>72</v>
      </c>
      <c r="Q101" s="8">
        <v>26</v>
      </c>
      <c r="R101" s="8">
        <v>4</v>
      </c>
      <c r="S101" s="8">
        <v>9</v>
      </c>
      <c r="T101" s="8">
        <v>24</v>
      </c>
      <c r="U101" s="8">
        <v>9</v>
      </c>
      <c r="V101" s="8">
        <v>0</v>
      </c>
      <c r="W101" s="8">
        <v>0</v>
      </c>
      <c r="X101" s="8">
        <f t="shared" si="7"/>
        <v>72</v>
      </c>
      <c r="Y101" s="8">
        <f>53+160</f>
        <v>213</v>
      </c>
      <c r="Z101" s="8">
        <f>42+30</f>
        <v>72</v>
      </c>
      <c r="AA101" s="8">
        <f>42+46</f>
        <v>88</v>
      </c>
      <c r="AB101" s="8">
        <v>200</v>
      </c>
      <c r="AC101" s="8">
        <f>53+112</f>
        <v>165</v>
      </c>
      <c r="AD101" s="8">
        <v>2</v>
      </c>
      <c r="AE101" s="8">
        <v>12</v>
      </c>
      <c r="AF101" s="8">
        <v>0</v>
      </c>
      <c r="AG101" s="8">
        <v>26</v>
      </c>
      <c r="AH101" s="8">
        <v>0</v>
      </c>
      <c r="AI101" s="8">
        <v>3</v>
      </c>
      <c r="AJ101" s="8">
        <v>1</v>
      </c>
      <c r="AK101" s="8">
        <v>40</v>
      </c>
      <c r="AL101" s="8">
        <v>14</v>
      </c>
      <c r="AM101" s="8">
        <v>0</v>
      </c>
      <c r="AN101" s="8">
        <v>22</v>
      </c>
      <c r="AO101" s="8">
        <v>8</v>
      </c>
      <c r="AP101" s="8">
        <v>0</v>
      </c>
      <c r="AQ101" s="8">
        <v>19</v>
      </c>
      <c r="AR101" s="8">
        <v>9</v>
      </c>
      <c r="AS101" s="8">
        <f t="shared" si="8"/>
        <v>72</v>
      </c>
      <c r="AT101" s="8">
        <v>19</v>
      </c>
      <c r="AU101" s="8">
        <v>17</v>
      </c>
      <c r="AV101" s="8">
        <v>11</v>
      </c>
      <c r="AW101" s="8">
        <v>14</v>
      </c>
      <c r="AX101" s="8">
        <v>1</v>
      </c>
    </row>
    <row r="102" spans="1:50" x14ac:dyDescent="0.35">
      <c r="A102" s="23" t="s">
        <v>192</v>
      </c>
      <c r="B102" s="17">
        <v>69870</v>
      </c>
      <c r="C102" s="34">
        <f>31+40</f>
        <v>71</v>
      </c>
      <c r="D102" s="34">
        <f>44+48</f>
        <v>92</v>
      </c>
      <c r="E102" s="35">
        <f>32+36</f>
        <v>68</v>
      </c>
      <c r="F102" s="35">
        <v>9</v>
      </c>
      <c r="G102" s="35">
        <v>15</v>
      </c>
      <c r="H102" s="35">
        <v>0</v>
      </c>
      <c r="I102" s="35">
        <v>0</v>
      </c>
      <c r="J102" s="35">
        <v>0</v>
      </c>
      <c r="K102" s="35">
        <v>0</v>
      </c>
      <c r="L102" s="35">
        <f t="shared" si="5"/>
        <v>92</v>
      </c>
      <c r="M102" s="35">
        <v>92</v>
      </c>
      <c r="N102" s="35">
        <v>0</v>
      </c>
      <c r="O102" s="35">
        <v>0</v>
      </c>
      <c r="P102" s="35">
        <f t="shared" si="6"/>
        <v>92</v>
      </c>
      <c r="Q102" s="35">
        <v>0</v>
      </c>
      <c r="R102" s="35">
        <v>0</v>
      </c>
      <c r="S102" s="35">
        <v>26</v>
      </c>
      <c r="T102" s="35">
        <f>27+32</f>
        <v>59</v>
      </c>
      <c r="U102" s="35">
        <v>7</v>
      </c>
      <c r="V102" s="35">
        <v>0</v>
      </c>
      <c r="W102" s="35">
        <v>0</v>
      </c>
      <c r="X102" s="35">
        <f t="shared" si="7"/>
        <v>92</v>
      </c>
      <c r="Y102" s="35">
        <f>68+96</f>
        <v>164</v>
      </c>
      <c r="Z102" s="35">
        <f>115+129</f>
        <v>244</v>
      </c>
      <c r="AA102" s="35">
        <f>85+96</f>
        <v>181</v>
      </c>
      <c r="AB102" s="35">
        <v>6</v>
      </c>
      <c r="AC102" s="35">
        <f>41+43</f>
        <v>84</v>
      </c>
      <c r="AD102" s="35">
        <v>16</v>
      </c>
      <c r="AE102" s="35">
        <f>81+114</f>
        <v>195</v>
      </c>
      <c r="AF102" s="35">
        <v>0</v>
      </c>
      <c r="AG102" s="35">
        <v>22</v>
      </c>
      <c r="AH102" s="35">
        <v>6</v>
      </c>
      <c r="AI102" s="35">
        <v>18</v>
      </c>
      <c r="AJ102" s="35">
        <v>7</v>
      </c>
      <c r="AK102" s="35">
        <f>45+36</f>
        <v>81</v>
      </c>
      <c r="AL102" s="35">
        <v>5</v>
      </c>
      <c r="AM102" s="35">
        <v>0</v>
      </c>
      <c r="AN102" s="35">
        <v>0</v>
      </c>
      <c r="AO102" s="35">
        <v>0</v>
      </c>
      <c r="AP102" s="35">
        <v>0</v>
      </c>
      <c r="AQ102" s="35">
        <v>0</v>
      </c>
      <c r="AR102" s="35">
        <f>42+45</f>
        <v>87</v>
      </c>
      <c r="AS102" s="35">
        <v>92</v>
      </c>
      <c r="AT102" s="35">
        <v>0</v>
      </c>
      <c r="AU102" s="35">
        <v>3</v>
      </c>
      <c r="AV102" s="35">
        <f>42+45</f>
        <v>87</v>
      </c>
      <c r="AW102" s="35">
        <v>0</v>
      </c>
      <c r="AX102" s="35">
        <v>2</v>
      </c>
    </row>
    <row r="103" spans="1:50" x14ac:dyDescent="0.35">
      <c r="A103" s="23" t="s">
        <v>146</v>
      </c>
      <c r="B103" s="16">
        <v>81674</v>
      </c>
      <c r="C103" s="33">
        <f>31+23</f>
        <v>54</v>
      </c>
      <c r="D103" s="33">
        <f>56+94</f>
        <v>150</v>
      </c>
      <c r="E103" s="8">
        <v>15</v>
      </c>
      <c r="F103" s="8">
        <v>22</v>
      </c>
      <c r="G103" s="8">
        <v>108</v>
      </c>
      <c r="H103" s="8">
        <v>0</v>
      </c>
      <c r="I103" s="8">
        <v>0</v>
      </c>
      <c r="J103" s="8">
        <v>1</v>
      </c>
      <c r="K103" s="8">
        <v>4</v>
      </c>
      <c r="L103" s="8">
        <f t="shared" si="5"/>
        <v>150</v>
      </c>
      <c r="M103" s="8">
        <f>47+75</f>
        <v>122</v>
      </c>
      <c r="N103" s="8">
        <v>28</v>
      </c>
      <c r="O103" s="8">
        <v>0</v>
      </c>
      <c r="P103" s="8">
        <f t="shared" si="6"/>
        <v>150</v>
      </c>
      <c r="Q103" s="8">
        <f>17+29</f>
        <v>46</v>
      </c>
      <c r="R103" s="8">
        <v>4</v>
      </c>
      <c r="S103" s="8">
        <v>23</v>
      </c>
      <c r="T103" s="8">
        <f>16+34</f>
        <v>50</v>
      </c>
      <c r="U103" s="8">
        <v>22</v>
      </c>
      <c r="V103" s="8">
        <v>4</v>
      </c>
      <c r="W103" s="8">
        <v>1</v>
      </c>
      <c r="X103" s="8">
        <f t="shared" si="7"/>
        <v>150</v>
      </c>
      <c r="Y103" s="8">
        <f>777+277</f>
        <v>1054</v>
      </c>
      <c r="Z103" s="8">
        <f>489+205</f>
        <v>694</v>
      </c>
      <c r="AA103" s="8">
        <f>434+150</f>
        <v>584</v>
      </c>
      <c r="AB103" s="8">
        <f>48+8</f>
        <v>56</v>
      </c>
      <c r="AC103" s="8">
        <v>36</v>
      </c>
      <c r="AD103" s="8">
        <v>16</v>
      </c>
      <c r="AE103" s="8">
        <f>13+14</f>
        <v>27</v>
      </c>
      <c r="AF103" s="8">
        <v>3</v>
      </c>
      <c r="AG103" s="8">
        <v>6</v>
      </c>
      <c r="AH103" s="8">
        <v>0</v>
      </c>
      <c r="AI103" s="8">
        <v>21</v>
      </c>
      <c r="AJ103" s="8">
        <v>11</v>
      </c>
      <c r="AK103" s="8">
        <f>3314+3258</f>
        <v>6572</v>
      </c>
      <c r="AL103" s="8">
        <f>21+31</f>
        <v>52</v>
      </c>
      <c r="AM103" s="8">
        <v>3</v>
      </c>
      <c r="AN103" s="8">
        <v>3</v>
      </c>
      <c r="AO103" s="8">
        <v>3</v>
      </c>
      <c r="AP103" s="8">
        <f>26+54</f>
        <v>80</v>
      </c>
      <c r="AQ103" s="8">
        <v>1</v>
      </c>
      <c r="AR103" s="8">
        <v>8</v>
      </c>
      <c r="AS103" s="8">
        <f t="shared" si="8"/>
        <v>150</v>
      </c>
      <c r="AT103" s="8">
        <v>8</v>
      </c>
      <c r="AU103" s="8">
        <v>27</v>
      </c>
      <c r="AV103" s="8">
        <v>17</v>
      </c>
      <c r="AW103" s="8">
        <v>7</v>
      </c>
      <c r="AX103" s="8">
        <v>7</v>
      </c>
    </row>
    <row r="104" spans="1:50" x14ac:dyDescent="0.35">
      <c r="A104" s="23" t="s">
        <v>147</v>
      </c>
      <c r="B104" s="17">
        <v>38226</v>
      </c>
      <c r="C104" s="34">
        <f>143+46</f>
        <v>189</v>
      </c>
      <c r="D104" s="34">
        <f>41+13</f>
        <v>54</v>
      </c>
      <c r="E104" s="35">
        <f>38+11</f>
        <v>49</v>
      </c>
      <c r="F104" s="35">
        <v>1</v>
      </c>
      <c r="G104" s="35">
        <v>3</v>
      </c>
      <c r="H104" s="35">
        <v>0</v>
      </c>
      <c r="I104" s="35">
        <v>0</v>
      </c>
      <c r="J104" s="35">
        <v>1</v>
      </c>
      <c r="K104" s="35">
        <v>0</v>
      </c>
      <c r="L104" s="35">
        <f t="shared" si="5"/>
        <v>54</v>
      </c>
      <c r="M104" s="35">
        <f>37+13</f>
        <v>50</v>
      </c>
      <c r="N104" s="35">
        <v>4</v>
      </c>
      <c r="O104" s="35">
        <v>0</v>
      </c>
      <c r="P104" s="35">
        <f t="shared" si="6"/>
        <v>54</v>
      </c>
      <c r="Q104" s="35">
        <v>2</v>
      </c>
      <c r="R104" s="35">
        <v>8</v>
      </c>
      <c r="S104" s="35">
        <v>1</v>
      </c>
      <c r="T104" s="35">
        <v>13</v>
      </c>
      <c r="U104" s="35">
        <v>24</v>
      </c>
      <c r="V104" s="35">
        <v>4</v>
      </c>
      <c r="W104" s="35">
        <v>2</v>
      </c>
      <c r="X104" s="35">
        <f t="shared" si="7"/>
        <v>54</v>
      </c>
      <c r="Y104" s="35">
        <f>224+65</f>
        <v>289</v>
      </c>
      <c r="Z104" s="35">
        <f>122+34</f>
        <v>156</v>
      </c>
      <c r="AA104" s="35">
        <f>172+49</f>
        <v>221</v>
      </c>
      <c r="AB104" s="35">
        <v>5</v>
      </c>
      <c r="AC104" s="35">
        <f>45+21</f>
        <v>66</v>
      </c>
      <c r="AD104" s="35">
        <v>0</v>
      </c>
      <c r="AE104" s="35">
        <f>40+15</f>
        <v>55</v>
      </c>
      <c r="AF104" s="35">
        <v>0</v>
      </c>
      <c r="AG104" s="35">
        <v>65</v>
      </c>
      <c r="AH104" s="35">
        <v>0</v>
      </c>
      <c r="AI104" s="35">
        <f>79+33</f>
        <v>112</v>
      </c>
      <c r="AJ104" s="35">
        <v>1</v>
      </c>
      <c r="AK104" s="35">
        <f>605+196</f>
        <v>801</v>
      </c>
      <c r="AL104" s="35">
        <v>6</v>
      </c>
      <c r="AM104" s="35">
        <v>1</v>
      </c>
      <c r="AN104" s="35">
        <v>15</v>
      </c>
      <c r="AO104" s="35">
        <v>10</v>
      </c>
      <c r="AP104" s="35">
        <v>8</v>
      </c>
      <c r="AQ104" s="35">
        <v>0</v>
      </c>
      <c r="AR104" s="35">
        <v>14</v>
      </c>
      <c r="AS104" s="35">
        <f t="shared" si="8"/>
        <v>54</v>
      </c>
      <c r="AT104" s="35">
        <v>18</v>
      </c>
      <c r="AU104" s="35">
        <v>8</v>
      </c>
      <c r="AV104" s="35">
        <v>14</v>
      </c>
      <c r="AW104" s="35">
        <v>7</v>
      </c>
      <c r="AX104" s="35">
        <v>1</v>
      </c>
    </row>
    <row r="105" spans="1:50" x14ac:dyDescent="0.35">
      <c r="A105" s="23" t="s">
        <v>148</v>
      </c>
      <c r="B105" s="16">
        <v>18314</v>
      </c>
      <c r="C105" s="33">
        <f>47+72</f>
        <v>119</v>
      </c>
      <c r="D105" s="33">
        <f>11+16</f>
        <v>27</v>
      </c>
      <c r="E105" s="8">
        <f>11+14</f>
        <v>25</v>
      </c>
      <c r="F105" s="8">
        <v>2</v>
      </c>
      <c r="G105" s="8">
        <v>0</v>
      </c>
      <c r="H105" s="8">
        <v>0</v>
      </c>
      <c r="I105" s="8">
        <v>0</v>
      </c>
      <c r="J105" s="8">
        <v>0</v>
      </c>
      <c r="K105" s="8">
        <v>0</v>
      </c>
      <c r="L105" s="8">
        <f t="shared" si="5"/>
        <v>27</v>
      </c>
      <c r="M105" s="8">
        <f>9+16</f>
        <v>25</v>
      </c>
      <c r="N105" s="8">
        <v>2</v>
      </c>
      <c r="O105" s="8">
        <v>0</v>
      </c>
      <c r="P105" s="8">
        <f t="shared" si="6"/>
        <v>27</v>
      </c>
      <c r="Q105" s="8">
        <v>3</v>
      </c>
      <c r="R105" s="8">
        <v>2</v>
      </c>
      <c r="S105" s="8">
        <v>4</v>
      </c>
      <c r="T105" s="8">
        <v>6</v>
      </c>
      <c r="U105" s="8">
        <v>9</v>
      </c>
      <c r="V105" s="8">
        <v>2</v>
      </c>
      <c r="W105" s="8">
        <v>1</v>
      </c>
      <c r="X105" s="8">
        <f t="shared" si="7"/>
        <v>27</v>
      </c>
      <c r="Y105" s="8">
        <f>52+112</f>
        <v>164</v>
      </c>
      <c r="Z105" s="8">
        <f>22+61</f>
        <v>83</v>
      </c>
      <c r="AA105" s="8">
        <f>31+91</f>
        <v>122</v>
      </c>
      <c r="AB105" s="8">
        <v>32</v>
      </c>
      <c r="AC105" s="8">
        <f>36+67</f>
        <v>103</v>
      </c>
      <c r="AD105" s="8">
        <v>1</v>
      </c>
      <c r="AE105" s="8">
        <v>0</v>
      </c>
      <c r="AF105" s="8">
        <v>0</v>
      </c>
      <c r="AG105" s="8">
        <v>84</v>
      </c>
      <c r="AH105" s="8">
        <v>21</v>
      </c>
      <c r="AI105" s="8">
        <v>11</v>
      </c>
      <c r="AJ105" s="8">
        <v>4</v>
      </c>
      <c r="AK105" s="8">
        <f>122+127</f>
        <v>249</v>
      </c>
      <c r="AL105" s="8">
        <v>1</v>
      </c>
      <c r="AM105" s="8">
        <v>4</v>
      </c>
      <c r="AN105" s="8">
        <v>13</v>
      </c>
      <c r="AO105" s="8">
        <v>6</v>
      </c>
      <c r="AP105" s="8">
        <v>1</v>
      </c>
      <c r="AQ105" s="8">
        <v>2</v>
      </c>
      <c r="AR105" s="8">
        <v>0</v>
      </c>
      <c r="AS105" s="8">
        <f t="shared" si="8"/>
        <v>27</v>
      </c>
      <c r="AT105" s="8">
        <v>16</v>
      </c>
      <c r="AU105" s="8">
        <v>3</v>
      </c>
      <c r="AV105" s="8">
        <v>8</v>
      </c>
      <c r="AW105" s="8">
        <v>0</v>
      </c>
      <c r="AX105" s="8">
        <v>0</v>
      </c>
    </row>
    <row r="106" spans="1:50" x14ac:dyDescent="0.35">
      <c r="A106" s="30" t="s">
        <v>48</v>
      </c>
      <c r="B106" s="31">
        <v>10042802</v>
      </c>
      <c r="C106" s="31">
        <f t="shared" ref="C106:AR106" si="9">SUM(C4:C105)</f>
        <v>24789</v>
      </c>
      <c r="D106" s="31">
        <f t="shared" si="9"/>
        <v>10036</v>
      </c>
      <c r="E106" s="31">
        <f t="shared" si="9"/>
        <v>5649</v>
      </c>
      <c r="F106" s="31">
        <f t="shared" si="9"/>
        <v>2063</v>
      </c>
      <c r="G106" s="31">
        <f t="shared" si="9"/>
        <v>1087</v>
      </c>
      <c r="H106" s="31">
        <f t="shared" si="9"/>
        <v>65</v>
      </c>
      <c r="I106" s="31">
        <f t="shared" si="9"/>
        <v>75</v>
      </c>
      <c r="J106" s="31">
        <f t="shared" si="9"/>
        <v>769</v>
      </c>
      <c r="K106" s="31">
        <f t="shared" si="9"/>
        <v>328</v>
      </c>
      <c r="L106" s="31">
        <f t="shared" si="9"/>
        <v>10036</v>
      </c>
      <c r="M106" s="31">
        <f t="shared" si="9"/>
        <v>8471</v>
      </c>
      <c r="N106" s="31">
        <f t="shared" si="9"/>
        <v>1506</v>
      </c>
      <c r="O106" s="31">
        <f t="shared" si="9"/>
        <v>59</v>
      </c>
      <c r="P106" s="31">
        <f t="shared" si="9"/>
        <v>10036</v>
      </c>
      <c r="Q106" s="31">
        <f t="shared" si="9"/>
        <v>1232</v>
      </c>
      <c r="R106" s="31">
        <f t="shared" si="9"/>
        <v>1233</v>
      </c>
      <c r="S106" s="31">
        <f t="shared" si="9"/>
        <v>1985</v>
      </c>
      <c r="T106" s="31">
        <f t="shared" si="9"/>
        <v>2868</v>
      </c>
      <c r="U106" s="31">
        <f t="shared" si="9"/>
        <v>1665</v>
      </c>
      <c r="V106" s="31">
        <f t="shared" si="9"/>
        <v>297</v>
      </c>
      <c r="W106" s="31">
        <f t="shared" si="9"/>
        <v>756</v>
      </c>
      <c r="X106" s="31">
        <f t="shared" si="9"/>
        <v>10036</v>
      </c>
      <c r="Y106" s="31">
        <f t="shared" si="9"/>
        <v>41149</v>
      </c>
      <c r="Z106" s="31">
        <f t="shared" si="9"/>
        <v>27272</v>
      </c>
      <c r="AA106" s="31">
        <f t="shared" si="9"/>
        <v>11358</v>
      </c>
      <c r="AB106" s="31">
        <f t="shared" si="9"/>
        <v>4470</v>
      </c>
      <c r="AC106" s="31">
        <f t="shared" si="9"/>
        <v>25169</v>
      </c>
      <c r="AD106" s="31">
        <f t="shared" si="9"/>
        <v>1560</v>
      </c>
      <c r="AE106" s="31">
        <f t="shared" si="9"/>
        <v>3867</v>
      </c>
      <c r="AF106" s="31">
        <f t="shared" si="9"/>
        <v>176</v>
      </c>
      <c r="AG106" s="31">
        <f t="shared" si="9"/>
        <v>3115</v>
      </c>
      <c r="AH106" s="31">
        <f t="shared" si="9"/>
        <v>555</v>
      </c>
      <c r="AI106" s="31">
        <f t="shared" si="9"/>
        <v>4409</v>
      </c>
      <c r="AJ106" s="31">
        <f t="shared" si="9"/>
        <v>1217</v>
      </c>
      <c r="AK106" s="31">
        <f t="shared" si="9"/>
        <v>253585</v>
      </c>
      <c r="AL106" s="31">
        <f t="shared" si="9"/>
        <v>3638</v>
      </c>
      <c r="AM106" s="31">
        <f t="shared" si="9"/>
        <v>491</v>
      </c>
      <c r="AN106" s="31">
        <f t="shared" si="9"/>
        <v>1312</v>
      </c>
      <c r="AO106" s="31">
        <f t="shared" si="9"/>
        <v>604</v>
      </c>
      <c r="AP106" s="31">
        <f t="shared" si="9"/>
        <v>1954</v>
      </c>
      <c r="AQ106" s="31">
        <f t="shared" si="9"/>
        <v>438</v>
      </c>
      <c r="AR106" s="31">
        <f t="shared" si="9"/>
        <v>1592</v>
      </c>
      <c r="AS106" s="31">
        <f t="shared" ref="AS106:AX106" si="10">SUM(AS4:AS105)</f>
        <v>10029</v>
      </c>
      <c r="AT106" s="31">
        <f t="shared" si="10"/>
        <v>2818</v>
      </c>
      <c r="AU106" s="31">
        <f t="shared" si="10"/>
        <v>2720</v>
      </c>
      <c r="AV106" s="31">
        <f t="shared" si="10"/>
        <v>1490</v>
      </c>
      <c r="AW106" s="31">
        <f t="shared" si="10"/>
        <v>646</v>
      </c>
      <c r="AX106" s="31">
        <f t="shared" si="10"/>
        <v>2256</v>
      </c>
    </row>
  </sheetData>
  <mergeCells count="13">
    <mergeCell ref="Q1:X1"/>
    <mergeCell ref="B1:B2"/>
    <mergeCell ref="C1:C2"/>
    <mergeCell ref="D1:D2"/>
    <mergeCell ref="E1:L1"/>
    <mergeCell ref="M1:P1"/>
    <mergeCell ref="AT1:AX1"/>
    <mergeCell ref="Y1:AE1"/>
    <mergeCell ref="AF1:AF2"/>
    <mergeCell ref="AG1:AH1"/>
    <mergeCell ref="AI1:AJ1"/>
    <mergeCell ref="AK1:AK2"/>
    <mergeCell ref="AL1:AR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348A6-6179-4598-ADE8-ADFF2CF6AD0F}">
  <dimension ref="C3:N41"/>
  <sheetViews>
    <sheetView showGridLines="0" topLeftCell="A13" workbookViewId="0">
      <selection sqref="A1:P45"/>
    </sheetView>
  </sheetViews>
  <sheetFormatPr defaultRowHeight="14.5" x14ac:dyDescent="0.35"/>
  <sheetData>
    <row r="3" spans="3:14" x14ac:dyDescent="0.35">
      <c r="C3" s="46"/>
      <c r="D3" s="46"/>
      <c r="E3" s="107" t="s">
        <v>203</v>
      </c>
      <c r="F3" s="108"/>
      <c r="G3" s="108"/>
      <c r="H3" s="108"/>
      <c r="I3" s="108"/>
      <c r="J3" s="108"/>
      <c r="K3" s="108"/>
      <c r="L3" s="108"/>
      <c r="M3" s="108"/>
      <c r="N3" s="108"/>
    </row>
    <row r="4" spans="3:14" x14ac:dyDescent="0.35">
      <c r="C4" s="46"/>
      <c r="D4" s="46"/>
      <c r="E4" s="108"/>
      <c r="F4" s="108"/>
      <c r="G4" s="108"/>
      <c r="H4" s="108"/>
      <c r="I4" s="108"/>
      <c r="J4" s="108"/>
      <c r="K4" s="108"/>
      <c r="L4" s="108"/>
      <c r="M4" s="108"/>
      <c r="N4" s="108"/>
    </row>
    <row r="5" spans="3:14" x14ac:dyDescent="0.35">
      <c r="C5" s="46"/>
      <c r="D5" s="46"/>
      <c r="E5" s="108"/>
      <c r="F5" s="108"/>
      <c r="G5" s="108"/>
      <c r="H5" s="108"/>
      <c r="I5" s="108"/>
      <c r="J5" s="108"/>
      <c r="K5" s="108"/>
      <c r="L5" s="108"/>
      <c r="M5" s="108"/>
      <c r="N5" s="108"/>
    </row>
    <row r="6" spans="3:14" x14ac:dyDescent="0.35">
      <c r="C6" s="46"/>
      <c r="D6" s="46"/>
      <c r="E6" s="108"/>
      <c r="F6" s="108"/>
      <c r="G6" s="108"/>
      <c r="H6" s="108"/>
      <c r="I6" s="108"/>
      <c r="J6" s="108"/>
      <c r="K6" s="108"/>
      <c r="L6" s="108"/>
      <c r="M6" s="108"/>
      <c r="N6" s="108"/>
    </row>
    <row r="7" spans="3:14" x14ac:dyDescent="0.35">
      <c r="C7" s="46"/>
      <c r="D7" s="46"/>
      <c r="E7" s="108"/>
      <c r="F7" s="108"/>
      <c r="G7" s="108"/>
      <c r="H7" s="108"/>
      <c r="I7" s="108"/>
      <c r="J7" s="108"/>
      <c r="K7" s="108"/>
      <c r="L7" s="108"/>
      <c r="M7" s="108"/>
      <c r="N7" s="108"/>
    </row>
    <row r="8" spans="3:14" x14ac:dyDescent="0.35">
      <c r="C8" s="46"/>
      <c r="D8" s="46"/>
      <c r="E8" s="108"/>
      <c r="F8" s="108"/>
      <c r="G8" s="108"/>
      <c r="H8" s="108"/>
      <c r="I8" s="108"/>
      <c r="J8" s="108"/>
      <c r="K8" s="108"/>
      <c r="L8" s="108"/>
      <c r="M8" s="108"/>
      <c r="N8" s="108"/>
    </row>
    <row r="9" spans="3:14" x14ac:dyDescent="0.35">
      <c r="C9" s="46"/>
      <c r="D9" s="46"/>
      <c r="E9" s="108"/>
      <c r="F9" s="108"/>
      <c r="G9" s="108"/>
      <c r="H9" s="108"/>
      <c r="I9" s="108"/>
      <c r="J9" s="108"/>
      <c r="K9" s="108"/>
      <c r="L9" s="108"/>
      <c r="M9" s="108"/>
      <c r="N9" s="108"/>
    </row>
    <row r="10" spans="3:14" x14ac:dyDescent="0.35">
      <c r="C10" s="46"/>
      <c r="D10" s="46"/>
      <c r="E10" s="108"/>
      <c r="F10" s="108"/>
      <c r="G10" s="108"/>
      <c r="H10" s="108"/>
      <c r="I10" s="108"/>
      <c r="J10" s="108"/>
      <c r="K10" s="108"/>
      <c r="L10" s="108"/>
      <c r="M10" s="108"/>
      <c r="N10" s="108"/>
    </row>
    <row r="11" spans="3:14" x14ac:dyDescent="0.35">
      <c r="C11" s="46"/>
      <c r="D11" s="46"/>
      <c r="E11" s="108"/>
      <c r="F11" s="108"/>
      <c r="G11" s="108"/>
      <c r="H11" s="108"/>
      <c r="I11" s="108"/>
      <c r="J11" s="108"/>
      <c r="K11" s="108"/>
      <c r="L11" s="108"/>
      <c r="M11" s="108"/>
      <c r="N11" s="108"/>
    </row>
    <row r="12" spans="3:14" x14ac:dyDescent="0.35">
      <c r="C12" s="46"/>
      <c r="D12" s="46"/>
      <c r="E12" s="108"/>
      <c r="F12" s="108"/>
      <c r="G12" s="108"/>
      <c r="H12" s="108"/>
      <c r="I12" s="108"/>
      <c r="J12" s="108"/>
      <c r="K12" s="108"/>
      <c r="L12" s="108"/>
      <c r="M12" s="108"/>
      <c r="N12" s="108"/>
    </row>
    <row r="13" spans="3:14" x14ac:dyDescent="0.35">
      <c r="C13" s="46"/>
      <c r="D13" s="46"/>
      <c r="E13" s="108"/>
      <c r="F13" s="108"/>
      <c r="G13" s="108"/>
      <c r="H13" s="108"/>
      <c r="I13" s="108"/>
      <c r="J13" s="108"/>
      <c r="K13" s="108"/>
      <c r="L13" s="108"/>
      <c r="M13" s="108"/>
      <c r="N13" s="108"/>
    </row>
    <row r="14" spans="3:14" x14ac:dyDescent="0.35">
      <c r="C14" s="46"/>
      <c r="D14" s="46"/>
      <c r="E14" s="108"/>
      <c r="F14" s="108"/>
      <c r="G14" s="108"/>
      <c r="H14" s="108"/>
      <c r="I14" s="108"/>
      <c r="J14" s="108"/>
      <c r="K14" s="108"/>
      <c r="L14" s="108"/>
      <c r="M14" s="108"/>
      <c r="N14" s="108"/>
    </row>
    <row r="15" spans="3:14" x14ac:dyDescent="0.35">
      <c r="C15" s="46"/>
      <c r="D15" s="46"/>
      <c r="E15" s="108"/>
      <c r="F15" s="108"/>
      <c r="G15" s="108"/>
      <c r="H15" s="108"/>
      <c r="I15" s="108"/>
      <c r="J15" s="108"/>
      <c r="K15" s="108"/>
      <c r="L15" s="108"/>
      <c r="M15" s="108"/>
      <c r="N15" s="108"/>
    </row>
    <row r="16" spans="3:14" x14ac:dyDescent="0.35">
      <c r="C16" s="46"/>
      <c r="D16" s="46"/>
      <c r="E16" s="108"/>
      <c r="F16" s="108"/>
      <c r="G16" s="108"/>
      <c r="H16" s="108"/>
      <c r="I16" s="108"/>
      <c r="J16" s="108"/>
      <c r="K16" s="108"/>
      <c r="L16" s="108"/>
      <c r="M16" s="108"/>
      <c r="N16" s="108"/>
    </row>
    <row r="17" spans="3:14" x14ac:dyDescent="0.35">
      <c r="C17" s="46"/>
      <c r="D17" s="46"/>
      <c r="E17" s="108"/>
      <c r="F17" s="108"/>
      <c r="G17" s="108"/>
      <c r="H17" s="108"/>
      <c r="I17" s="108"/>
      <c r="J17" s="108"/>
      <c r="K17" s="108"/>
      <c r="L17" s="108"/>
      <c r="M17" s="108"/>
      <c r="N17" s="108"/>
    </row>
    <row r="18" spans="3:14" x14ac:dyDescent="0.35">
      <c r="C18" s="46"/>
      <c r="D18" s="46"/>
      <c r="E18" s="46"/>
      <c r="F18" s="46"/>
      <c r="G18" s="46"/>
      <c r="H18" s="46"/>
      <c r="I18" s="46"/>
      <c r="J18" s="46"/>
      <c r="K18" s="46"/>
      <c r="L18" s="46"/>
      <c r="M18" s="46"/>
      <c r="N18" s="46"/>
    </row>
    <row r="19" spans="3:14" x14ac:dyDescent="0.35">
      <c r="C19" s="46"/>
      <c r="D19" s="46"/>
      <c r="E19" s="46"/>
      <c r="F19" s="46"/>
      <c r="G19" s="46"/>
      <c r="H19" s="46"/>
      <c r="I19" s="46"/>
      <c r="J19" s="46"/>
      <c r="K19" s="46"/>
      <c r="L19" s="46"/>
      <c r="M19" s="46"/>
      <c r="N19" s="46"/>
    </row>
    <row r="20" spans="3:14" x14ac:dyDescent="0.35">
      <c r="C20" s="46"/>
      <c r="D20" s="109" t="s">
        <v>204</v>
      </c>
      <c r="E20" s="109"/>
      <c r="F20" s="109"/>
      <c r="G20" s="46"/>
      <c r="H20" s="46"/>
      <c r="I20" s="46"/>
      <c r="J20" s="46"/>
      <c r="K20" s="46"/>
      <c r="L20" s="46"/>
      <c r="M20" s="46"/>
      <c r="N20" s="46"/>
    </row>
    <row r="21" spans="3:14" x14ac:dyDescent="0.35">
      <c r="C21" s="46"/>
      <c r="D21" s="46"/>
      <c r="E21" s="46"/>
      <c r="F21" s="46"/>
      <c r="G21" s="46"/>
      <c r="H21" s="46"/>
      <c r="I21" s="46"/>
      <c r="J21" s="46"/>
      <c r="K21" s="46"/>
      <c r="L21" s="46"/>
      <c r="M21" s="46"/>
      <c r="N21" s="46"/>
    </row>
    <row r="22" spans="3:14" x14ac:dyDescent="0.35">
      <c r="C22" s="47"/>
      <c r="D22" s="110" t="s">
        <v>205</v>
      </c>
      <c r="E22" s="110"/>
      <c r="F22" s="110"/>
      <c r="G22" s="110"/>
      <c r="H22" s="110"/>
      <c r="I22" s="110"/>
      <c r="J22" s="110"/>
      <c r="K22" s="110"/>
      <c r="L22" s="110"/>
      <c r="M22" s="110"/>
      <c r="N22" s="110"/>
    </row>
    <row r="23" spans="3:14" x14ac:dyDescent="0.35">
      <c r="C23" s="47"/>
      <c r="D23" s="110"/>
      <c r="E23" s="110"/>
      <c r="F23" s="110"/>
      <c r="G23" s="110"/>
      <c r="H23" s="110"/>
      <c r="I23" s="110"/>
      <c r="J23" s="110"/>
      <c r="K23" s="110"/>
      <c r="L23" s="110"/>
      <c r="M23" s="110"/>
      <c r="N23" s="110"/>
    </row>
    <row r="24" spans="3:14" x14ac:dyDescent="0.35">
      <c r="C24" s="47"/>
      <c r="D24" s="110"/>
      <c r="E24" s="110"/>
      <c r="F24" s="110"/>
      <c r="G24" s="110"/>
      <c r="H24" s="110"/>
      <c r="I24" s="110"/>
      <c r="J24" s="110"/>
      <c r="K24" s="110"/>
      <c r="L24" s="110"/>
      <c r="M24" s="110"/>
      <c r="N24" s="110"/>
    </row>
    <row r="25" spans="3:14" x14ac:dyDescent="0.35">
      <c r="C25" s="47"/>
      <c r="D25" s="110"/>
      <c r="E25" s="110"/>
      <c r="F25" s="110"/>
      <c r="G25" s="110"/>
      <c r="H25" s="110"/>
      <c r="I25" s="110"/>
      <c r="J25" s="110"/>
      <c r="K25" s="110"/>
      <c r="L25" s="110"/>
      <c r="M25" s="110"/>
      <c r="N25" s="110"/>
    </row>
    <row r="26" spans="3:14" x14ac:dyDescent="0.35">
      <c r="C26" s="47"/>
      <c r="D26" s="110"/>
      <c r="E26" s="110"/>
      <c r="F26" s="110"/>
      <c r="G26" s="110"/>
      <c r="H26" s="110"/>
      <c r="I26" s="110"/>
      <c r="J26" s="110"/>
      <c r="K26" s="110"/>
      <c r="L26" s="110"/>
      <c r="M26" s="110"/>
      <c r="N26" s="110"/>
    </row>
    <row r="27" spans="3:14" x14ac:dyDescent="0.35">
      <c r="C27" s="47"/>
      <c r="D27" s="110"/>
      <c r="E27" s="110"/>
      <c r="F27" s="110"/>
      <c r="G27" s="110"/>
      <c r="H27" s="110"/>
      <c r="I27" s="110"/>
      <c r="J27" s="110"/>
      <c r="K27" s="110"/>
      <c r="L27" s="110"/>
      <c r="M27" s="110"/>
      <c r="N27" s="110"/>
    </row>
    <row r="28" spans="3:14" x14ac:dyDescent="0.35">
      <c r="C28" s="47"/>
      <c r="D28" s="110"/>
      <c r="E28" s="110"/>
      <c r="F28" s="110"/>
      <c r="G28" s="110"/>
      <c r="H28" s="110"/>
      <c r="I28" s="110"/>
      <c r="J28" s="110"/>
      <c r="K28" s="110"/>
      <c r="L28" s="110"/>
      <c r="M28" s="110"/>
      <c r="N28" s="110"/>
    </row>
    <row r="29" spans="3:14" x14ac:dyDescent="0.35">
      <c r="C29" s="47"/>
      <c r="D29" s="110"/>
      <c r="E29" s="110"/>
      <c r="F29" s="110"/>
      <c r="G29" s="110"/>
      <c r="H29" s="110"/>
      <c r="I29" s="110"/>
      <c r="J29" s="110"/>
      <c r="K29" s="110"/>
      <c r="L29" s="110"/>
      <c r="M29" s="110"/>
      <c r="N29" s="110"/>
    </row>
    <row r="30" spans="3:14" x14ac:dyDescent="0.35">
      <c r="C30" s="47"/>
      <c r="D30" s="110"/>
      <c r="E30" s="110"/>
      <c r="F30" s="110"/>
      <c r="G30" s="110"/>
      <c r="H30" s="110"/>
      <c r="I30" s="110"/>
      <c r="J30" s="110"/>
      <c r="K30" s="110"/>
      <c r="L30" s="110"/>
      <c r="M30" s="110"/>
      <c r="N30" s="110"/>
    </row>
    <row r="31" spans="3:14" x14ac:dyDescent="0.35">
      <c r="C31" s="47"/>
      <c r="D31" s="110"/>
      <c r="E31" s="110"/>
      <c r="F31" s="110"/>
      <c r="G31" s="110"/>
      <c r="H31" s="110"/>
      <c r="I31" s="110"/>
      <c r="J31" s="110"/>
      <c r="K31" s="110"/>
      <c r="L31" s="110"/>
      <c r="M31" s="110"/>
      <c r="N31" s="110"/>
    </row>
    <row r="32" spans="3:14" x14ac:dyDescent="0.35">
      <c r="C32" s="47"/>
      <c r="D32" s="110"/>
      <c r="E32" s="110"/>
      <c r="F32" s="110"/>
      <c r="G32" s="110"/>
      <c r="H32" s="110"/>
      <c r="I32" s="110"/>
      <c r="J32" s="110"/>
      <c r="K32" s="110"/>
      <c r="L32" s="110"/>
      <c r="M32" s="110"/>
      <c r="N32" s="110"/>
    </row>
    <row r="33" spans="3:14" x14ac:dyDescent="0.35">
      <c r="C33" s="47"/>
      <c r="D33" s="110"/>
      <c r="E33" s="110"/>
      <c r="F33" s="110"/>
      <c r="G33" s="110"/>
      <c r="H33" s="110"/>
      <c r="I33" s="110"/>
      <c r="J33" s="110"/>
      <c r="K33" s="110"/>
      <c r="L33" s="110"/>
      <c r="M33" s="110"/>
      <c r="N33" s="110"/>
    </row>
    <row r="34" spans="3:14" x14ac:dyDescent="0.35">
      <c r="C34" s="47"/>
      <c r="D34" s="110"/>
      <c r="E34" s="110"/>
      <c r="F34" s="110"/>
      <c r="G34" s="110"/>
      <c r="H34" s="110"/>
      <c r="I34" s="110"/>
      <c r="J34" s="110"/>
      <c r="K34" s="110"/>
      <c r="L34" s="110"/>
      <c r="M34" s="110"/>
      <c r="N34" s="110"/>
    </row>
    <row r="35" spans="3:14" x14ac:dyDescent="0.35">
      <c r="C35" s="47"/>
      <c r="D35" s="110"/>
      <c r="E35" s="110"/>
      <c r="F35" s="110"/>
      <c r="G35" s="110"/>
      <c r="H35" s="110"/>
      <c r="I35" s="110"/>
      <c r="J35" s="110"/>
      <c r="K35" s="110"/>
      <c r="L35" s="110"/>
      <c r="M35" s="110"/>
      <c r="N35" s="110"/>
    </row>
    <row r="36" spans="3:14" x14ac:dyDescent="0.35">
      <c r="C36" s="47"/>
      <c r="D36" s="110"/>
      <c r="E36" s="110"/>
      <c r="F36" s="110"/>
      <c r="G36" s="110"/>
      <c r="H36" s="110"/>
      <c r="I36" s="110"/>
      <c r="J36" s="110"/>
      <c r="K36" s="110"/>
      <c r="L36" s="110"/>
      <c r="M36" s="110"/>
      <c r="N36" s="110"/>
    </row>
    <row r="37" spans="3:14" x14ac:dyDescent="0.35">
      <c r="C37" s="47"/>
      <c r="D37" s="110"/>
      <c r="E37" s="110"/>
      <c r="F37" s="110"/>
      <c r="G37" s="110"/>
      <c r="H37" s="110"/>
      <c r="I37" s="110"/>
      <c r="J37" s="110"/>
      <c r="K37" s="110"/>
      <c r="L37" s="110"/>
      <c r="M37" s="110"/>
      <c r="N37" s="110"/>
    </row>
    <row r="38" spans="3:14" x14ac:dyDescent="0.35">
      <c r="C38" s="47"/>
      <c r="D38" s="110"/>
      <c r="E38" s="110"/>
      <c r="F38" s="110"/>
      <c r="G38" s="110"/>
      <c r="H38" s="110"/>
      <c r="I38" s="110"/>
      <c r="J38" s="110"/>
      <c r="K38" s="110"/>
      <c r="L38" s="110"/>
      <c r="M38" s="110"/>
      <c r="N38" s="110"/>
    </row>
    <row r="39" spans="3:14" x14ac:dyDescent="0.35">
      <c r="C39" s="46"/>
      <c r="D39" s="110"/>
      <c r="E39" s="110"/>
      <c r="F39" s="110"/>
      <c r="G39" s="110"/>
      <c r="H39" s="110"/>
      <c r="I39" s="110"/>
      <c r="J39" s="110"/>
      <c r="K39" s="110"/>
      <c r="L39" s="110"/>
      <c r="M39" s="110"/>
      <c r="N39" s="110"/>
    </row>
    <row r="40" spans="3:14" x14ac:dyDescent="0.35">
      <c r="C40" s="46"/>
      <c r="D40" s="110"/>
      <c r="E40" s="110"/>
      <c r="F40" s="110"/>
      <c r="G40" s="110"/>
      <c r="H40" s="110"/>
      <c r="I40" s="110"/>
      <c r="J40" s="110"/>
      <c r="K40" s="110"/>
      <c r="L40" s="110"/>
      <c r="M40" s="110"/>
      <c r="N40" s="110"/>
    </row>
    <row r="41" spans="3:14" x14ac:dyDescent="0.35">
      <c r="C41" s="46"/>
      <c r="D41" s="110"/>
      <c r="E41" s="110"/>
      <c r="F41" s="110"/>
      <c r="G41" s="110"/>
      <c r="H41" s="110"/>
      <c r="I41" s="110"/>
      <c r="J41" s="110"/>
      <c r="K41" s="110"/>
      <c r="L41" s="110"/>
      <c r="M41" s="110"/>
      <c r="N41" s="110"/>
    </row>
  </sheetData>
  <sheetProtection selectLockedCells="1" selectUnlockedCells="1"/>
  <mergeCells count="3">
    <mergeCell ref="E3:N17"/>
    <mergeCell ref="D20:F20"/>
    <mergeCell ref="D22:N4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22CCB-6B04-42B9-84F5-E3F02195FD8C}">
  <dimension ref="A1:AL446"/>
  <sheetViews>
    <sheetView showZeros="0" zoomScale="70" zoomScaleNormal="70" workbookViewId="0">
      <pane ySplit="4" topLeftCell="A5" activePane="bottomLeft" state="frozen"/>
      <selection pane="bottomLeft" activeCell="A277" sqref="A277"/>
    </sheetView>
  </sheetViews>
  <sheetFormatPr defaultRowHeight="14.5" x14ac:dyDescent="0.35"/>
  <cols>
    <col min="1" max="1" width="26.26953125" customWidth="1"/>
    <col min="2" max="2" width="8.7265625" style="54" customWidth="1"/>
    <col min="3" max="3" width="10.81640625" customWidth="1"/>
    <col min="4" max="4" width="5.453125" customWidth="1"/>
    <col min="5" max="5" width="4.453125" customWidth="1"/>
    <col min="6" max="6" width="4.26953125" customWidth="1"/>
    <col min="7" max="7" width="7.26953125" customWidth="1"/>
    <col min="8" max="8" width="4.453125" customWidth="1"/>
    <col min="9" max="9" width="3.26953125" customWidth="1"/>
    <col min="10" max="10" width="4.26953125" customWidth="1"/>
    <col min="11" max="11" width="6.453125" customWidth="1"/>
    <col min="12" max="12" width="5.26953125" customWidth="1"/>
    <col min="13" max="13" width="4" customWidth="1"/>
    <col min="14" max="14" width="4.26953125" customWidth="1"/>
    <col min="15" max="15" width="6" customWidth="1"/>
    <col min="16" max="16" width="3" customWidth="1"/>
    <col min="17" max="17" width="2.54296875" customWidth="1"/>
    <col min="18" max="18" width="4.26953125" customWidth="1"/>
    <col min="19" max="19" width="6.453125" customWidth="1"/>
    <col min="20" max="20" width="3" customWidth="1"/>
    <col min="21" max="21" width="2.54296875" customWidth="1"/>
    <col min="22" max="22" width="4.26953125" customWidth="1"/>
    <col min="23" max="23" width="6.453125" customWidth="1"/>
    <col min="24" max="24" width="5" bestFit="1" customWidth="1"/>
    <col min="25" max="25" width="3.26953125" customWidth="1"/>
    <col min="26" max="26" width="4.26953125" customWidth="1"/>
    <col min="27" max="27" width="6.453125" customWidth="1"/>
    <col min="28" max="28" width="5" bestFit="1" customWidth="1"/>
    <col min="29" max="29" width="3.81640625" customWidth="1"/>
    <col min="30" max="30" width="4.26953125" customWidth="1"/>
    <col min="31" max="31" width="6" customWidth="1"/>
    <col min="32" max="32" width="14.54296875" customWidth="1"/>
    <col min="34" max="34" width="10.26953125" hidden="1" customWidth="1"/>
    <col min="35" max="35" width="10.7265625" hidden="1" customWidth="1"/>
    <col min="36" max="36" width="10" hidden="1" customWidth="1"/>
    <col min="37" max="37" width="10.26953125" hidden="1" customWidth="1"/>
    <col min="38" max="38" width="0" hidden="1" customWidth="1"/>
  </cols>
  <sheetData>
    <row r="1" spans="1:38" x14ac:dyDescent="0.35">
      <c r="A1" s="131" t="s">
        <v>206</v>
      </c>
      <c r="B1" s="131"/>
      <c r="C1" s="131"/>
      <c r="D1" s="48"/>
      <c r="E1" s="49"/>
      <c r="F1" s="49"/>
      <c r="G1" s="50" t="s">
        <v>207</v>
      </c>
      <c r="H1" s="50"/>
      <c r="I1" s="50"/>
      <c r="J1" s="50"/>
      <c r="K1" s="50"/>
      <c r="L1" s="50"/>
      <c r="M1" s="50"/>
      <c r="N1" s="50"/>
      <c r="O1" s="50"/>
      <c r="P1" s="50"/>
      <c r="Q1" s="50"/>
      <c r="R1" s="50"/>
      <c r="S1" s="50"/>
      <c r="T1" s="50"/>
      <c r="U1" s="50"/>
      <c r="V1" s="50"/>
      <c r="W1" s="50"/>
      <c r="X1" s="50"/>
      <c r="Y1" s="50"/>
      <c r="Z1" s="50"/>
      <c r="AA1" s="50"/>
      <c r="AB1" s="50"/>
      <c r="AC1" s="50"/>
      <c r="AD1" s="50"/>
      <c r="AE1" s="51"/>
    </row>
    <row r="2" spans="1:38" ht="29" x14ac:dyDescent="0.35">
      <c r="A2" s="52" t="s">
        <v>208</v>
      </c>
      <c r="B2" s="53" t="s">
        <v>209</v>
      </c>
      <c r="C2" s="52" t="s">
        <v>210</v>
      </c>
      <c r="D2" s="132" t="s">
        <v>211</v>
      </c>
      <c r="E2" s="133"/>
      <c r="F2" s="133"/>
      <c r="G2" s="134"/>
      <c r="H2" s="118" t="s">
        <v>212</v>
      </c>
      <c r="I2" s="119"/>
      <c r="J2" s="119"/>
      <c r="K2" s="120"/>
      <c r="L2" s="135" t="s">
        <v>213</v>
      </c>
      <c r="M2" s="136"/>
      <c r="N2" s="136"/>
      <c r="O2" s="137"/>
      <c r="P2" s="118" t="s">
        <v>214</v>
      </c>
      <c r="Q2" s="119"/>
      <c r="R2" s="119"/>
      <c r="S2" s="120"/>
      <c r="T2" s="127" t="s">
        <v>215</v>
      </c>
      <c r="U2" s="128"/>
      <c r="V2" s="128"/>
      <c r="W2" s="129"/>
      <c r="X2" s="118" t="s">
        <v>216</v>
      </c>
      <c r="Y2" s="119"/>
      <c r="Z2" s="119"/>
      <c r="AA2" s="120"/>
      <c r="AB2" s="118" t="s">
        <v>217</v>
      </c>
      <c r="AC2" s="119"/>
      <c r="AD2" s="119"/>
      <c r="AE2" s="120"/>
      <c r="AF2" s="52" t="s">
        <v>218</v>
      </c>
      <c r="AG2" s="86"/>
      <c r="AH2" s="68" t="s">
        <v>396</v>
      </c>
      <c r="AI2" s="68" t="s">
        <v>395</v>
      </c>
      <c r="AJ2" s="68" t="s">
        <v>394</v>
      </c>
      <c r="AK2" s="68" t="s">
        <v>393</v>
      </c>
    </row>
    <row r="3" spans="1:38" ht="18" customHeight="1" x14ac:dyDescent="0.35">
      <c r="D3" s="55" t="s">
        <v>219</v>
      </c>
      <c r="E3" s="55" t="s">
        <v>220</v>
      </c>
      <c r="F3" s="55" t="s">
        <v>221</v>
      </c>
      <c r="G3" s="56" t="s">
        <v>18</v>
      </c>
      <c r="H3" s="55" t="s">
        <v>219</v>
      </c>
      <c r="I3" s="55" t="s">
        <v>220</v>
      </c>
      <c r="J3" s="55" t="s">
        <v>221</v>
      </c>
      <c r="K3" s="56" t="s">
        <v>222</v>
      </c>
      <c r="L3" s="55" t="s">
        <v>219</v>
      </c>
      <c r="M3" s="55" t="s">
        <v>220</v>
      </c>
      <c r="N3" s="55" t="s">
        <v>221</v>
      </c>
      <c r="O3" s="56" t="s">
        <v>18</v>
      </c>
      <c r="P3" s="55" t="s">
        <v>219</v>
      </c>
      <c r="Q3" s="55" t="s">
        <v>220</v>
      </c>
      <c r="R3" s="55" t="s">
        <v>221</v>
      </c>
      <c r="S3" s="56" t="s">
        <v>222</v>
      </c>
      <c r="T3" s="55" t="s">
        <v>219</v>
      </c>
      <c r="U3" s="55" t="s">
        <v>220</v>
      </c>
      <c r="V3" s="55" t="s">
        <v>221</v>
      </c>
      <c r="W3" s="56" t="s">
        <v>222</v>
      </c>
      <c r="X3" s="55" t="s">
        <v>219</v>
      </c>
      <c r="Y3" s="55" t="s">
        <v>220</v>
      </c>
      <c r="Z3" s="55" t="s">
        <v>221</v>
      </c>
      <c r="AA3" s="56" t="s">
        <v>222</v>
      </c>
      <c r="AB3" s="55" t="s">
        <v>219</v>
      </c>
      <c r="AC3" s="55" t="s">
        <v>220</v>
      </c>
      <c r="AD3" s="55" t="s">
        <v>221</v>
      </c>
      <c r="AE3" s="56" t="s">
        <v>18</v>
      </c>
      <c r="AF3" s="57"/>
      <c r="AH3" s="60">
        <f>SUM(AF5,AF10,AF15,AF20,AF25,AF30,AF35,AF41,AF46,AF52,AF57,AF62,AF67,AF72,AF77,AF82,AF87,AF92,AF97,AF102,AF108,AF113,AF118,AF123,AF129,AF134,AF139,AF145,AF150,AF155,AF160,AF165,AF170,AF175,AF180,AF185,AF190,AF195,AF200,AF206,AF211,AF216,AF221,AF226,AF231,AF236,AF241,AF246,AF251,AF256,AF261,AF267,AF272,AF278,AF283,AF288,AF293,AF298,AF303,AF308,AF313,AF318,AF323,AF328,AF333,AF338,AF343,AF349,AF360,AF365,AF370,AF375,AF380,AF385,AF390,AF396,AF401,AF406,AF411,AF417,AF422,AF427,AF432,AF437,AF442)</f>
        <v>939</v>
      </c>
      <c r="AI3" s="60">
        <f>SUM(AF6,AF11,AF16,AF21,AF26,AF31,AF36,AF42,AF47,AF53,AF58,AF63,AF68,AF73,AF78,AF83,AF88,AF93,AF98,AF103,AF109,AF114,AF119,AF124,AF130,AF135,AF140,AF146,AF151,AF156,AF161,AF166,AF171,AF176,AF181,AF186,AF191,AF196,AF201,AF207,AF212,AF217,AF222,AF227,AF232,AF237,AF242,AF247,AF252,AF257,AF262,AF268,AF273,AF279,AF284,AF289,AF294,AF299,AF304,AF309,AF314,AF319,AF324,AF329,AF334,AF339,AF344,AF350,AF361,AF366,AF371,AF376,AF381,AF386,AF391,AF397,AF402,AF407,AF412,AF418,AF423,AF428,AF433,AF438,AF443)</f>
        <v>854</v>
      </c>
      <c r="AJ3" s="60">
        <f>SUM(AF7,AF12,AF17,AF22,AF27,AF32,AF37,AF43,AF48,AF54,AF59,AF64,AF69,AF74,AF79,AF84,AF89,AF94,AF99,AF104,AF110,AF115,AF120,AF125,AF131,AF136,AF141,AF147,AF152,AF157,AF162,AF167,AF172,AF177,AF182,AF187,AF192,AF197,AF202,AF208,AF213,AF218,AF223,AF228,AF233,AF238,AF243,AF248,AF253,AF258,AF263,AF269,AF274,AF280,AF285,AF290,AF295,AF300,AF305,AF310,AF315,AF320,AF325,AF330,AF335,AF340,AF345,AF351,AF362,AF367,AF372,AF377,AF382,AF387,AF392,AF398,AF403,AF408,AF413,AF419,AF424,AF429,AF434,AF439,AF444)</f>
        <v>748</v>
      </c>
      <c r="AK3" s="60">
        <f>SUM(AF8,AF13,AF18,AF23,AF28,AF33,AF38,AF44,AF49,AF55,AF60,AF65,AF70,AF75,AF80,AF85,AF90,AF95,AF100,AF105,AF111,AF116,AF121,AF126,AF132,AF137,AF142,AF148,AF153,AF158,AF163,AF168,AF173,AF178,AF183,AF188,AF193,AF198,AF203,AF209,AF214,AF219,AF224,AF229,AF234,AF239,AF244,AF249,AF254,AF259,AF264,AF270,AF275,AF281,AF286,AF291,AF296,AF301,AF306,AF311,AF316,AF321,AF326,AF331,AF336,AF341,AF346,AF352,AF363,AF368,AF373,AF378,AF383,AF388,AF393,AF399,AF404,AF409,AF414,AF420,AF425,AF430,AF435,AF440,AF445)</f>
        <v>878</v>
      </c>
    </row>
    <row r="4" spans="1:38" x14ac:dyDescent="0.35">
      <c r="A4" s="121" t="s">
        <v>48</v>
      </c>
      <c r="B4" s="122"/>
      <c r="C4" s="123"/>
      <c r="D4" s="58">
        <f>SUM(D9,D14,D19,D24,D29,D40,D51,D56,D61,D66,D71,D76,D81,D86,D91,D96,D107,D112,D117,D128,D133,D144,D149,D154,D159,D164,D169,D174,D179,D184,D189,D205,D210,D215,D220,D225,D230,D235,D240,D245,D250,D255,D266,D277,D282,D287,D292,D297,D302,D307,D312,D317,D322,D327,D332,D337,D348,D359,D364,D369,D374,D379,D384,D395,D400,D416,D421,D426,D431,D436,D441,D446)</f>
        <v>1995</v>
      </c>
      <c r="E4" s="58">
        <f>SUM(E9,E14,E19,E24,E29,E40,E51,E56,E61,E66,E71,E76,E81,E86,E91,E96,E107,E112,E117,E128,E133,E144,E149,E154,E159,E164,E169,E174,E179,E184,E189,E205,E210,E215,E220,E225,E230,E235,E240,E245,E250,E255,E266,E277,E282,E287,E292,E297,E302,E307,E312,E317,E322,E327,E332,E337,E348,E359,E364,E369,E374,E379,E384,E395,E400,E416,E421,E426,E431,E436,E441,E446)</f>
        <v>143</v>
      </c>
      <c r="F4" s="58">
        <f>SUM(F9,F14,F19,F24,F29,F40,F51,F56,F61,F66,F71,F76,F81,F86,F91,F96,F107,F112,F117,F128,F133,F144,F149,F154,F159,F164,F169,F174,F179,F184,F189,F205,F210,F215,F220,F225,F230,F235,F240,F245,F250,F255,F266,F277,F282,F287,F292,F297,F302,F307,F312,F317,F322,F327,F332,F337,F348,F359,F364,F369,F374,F379,F384,F395,F400,F416,F421,F426,F431,F436,F441,F446)</f>
        <v>75</v>
      </c>
      <c r="G4" s="58">
        <f>SUM(D4:F4)</f>
        <v>2213</v>
      </c>
      <c r="H4" s="58">
        <f>SUM(H9,H14,H19,H24,H29,H40,H51,H56,H61,H66,H71,H76,H81,H86,H91,H96,H107,H112,H117,H128,H133,H144,H149,H154,H159,H164,H169,H174,H179,H184,H189,H205,H210,H215,H220,H225,H230,H235,H240,H245,H250,H255,H266,H277,H282,H287,H292,H297,H302,H307,H312,H317,H322,H327,H332,H337,H348,H359,H364,H369,H374,H379,H384,H395,H400,H416,H421,H426,H431,H436,H441,H446)</f>
        <v>97</v>
      </c>
      <c r="I4" s="58">
        <f>SUM(I9,I14,I19,I24,I29,I40,I51,I56,I61,I66,I71,I76,I81,I86,I91,I96,I107,I112,I117,I128,I133,I144,I149,I154,I159,I164,I169,I174,I179,I184,I189,I205,I210,I215,I220,I225,I230,I235,I240,I245,I250,I255,I266,I277,I282,I287,I292,I297,I302,I307,I312,I317,I322,I327,I332,I337,I348,I359,I364,I369,I374,I379,I384,I395,I400,I416,I421,I426,I431,I436,I441,I446)</f>
        <v>10</v>
      </c>
      <c r="J4" s="58">
        <f>SUM(J9,J14,J19,J24,J29,J40,J51,J56,J61,J66,J71,J76,J81,J86,J91,J96,J107,J112,J117,J128,J133,J144,J149,J154,J159,J164,J169,J174,J179,J184,J189,J205,J210,J215,J220,J225,J230,J235,J240,J245,J250,J255,J266,J277,J282,J287,J292,J297,J302,J307,J312,J317,J322,J327,J332,J337,J348,J359,J364,J369,J374,J379,J384,J395,J400,J416,J421,J426,J431,J436,J441,J446)</f>
        <v>8</v>
      </c>
      <c r="K4" s="58">
        <f>SUM(H4:J4)</f>
        <v>115</v>
      </c>
      <c r="L4" s="58">
        <f>SUM(L9,L14,L19,L24,L29,L40,L51,L56,L61,L66,L71,L76,L81,L86,L91,L96,L107,L112,L117,L128,L133,L144,L149,L154,L159,L164,L169,L174,L179,L184,L189,L205,L210,L215,L220,L225,L230,L235,L240,L245,L250,L255,L266,L277,L282,L287,L292,L297,L302,L307,L312,L317,L322,L327,L332,L337,L348,L359,L364,L369,L374,L379,L384,L395,L400,L416,L421,L426,L431,L436,L441,L446)</f>
        <v>427</v>
      </c>
      <c r="M4" s="58">
        <f>SUM(M9,M14,M19,M24,M29,M40,M51,M56,M61,M66,M71,M76,M81,M86,M91,M96,M107,M112,M117,M128,M133,M144,M149,M154,M159,M164,M169,M174,M179,M184,M189,M205,M210,M215,M220,M225,M230,M235,M240,M245,M250,M255,M266,M277,M282,M287,M292,M297,M302,M307,M312,M317,M322,M327,M332,M337,M348,M359,M364,M369,M374,M379,M384,M395,M400,M416,M421,M426,M431,M436,M441,M446)</f>
        <v>62</v>
      </c>
      <c r="N4" s="58">
        <f>SUM(N9,N14,N19,N24,N29,N40,N51,N56,N61,N66,N71,N76,N81,N86,N91,N96,N107,N112,N117,N128,N133,N144,N149,N154,N159,N164,N169,N174,N179,N184,N189,N205,N210,N215,N220,N225,N230,N235,N240,N245,N250,N255,N266,N277,N282,N287,N292,N297,N302,N307,N312,N317,N322,N327,N332,N337,N348,N359,N364,N369,N374,N379,N384,N395,N400,N416,N421,N426,N431,N436,N441,N446)</f>
        <v>28</v>
      </c>
      <c r="O4" s="58">
        <f>SUM(L4:N4)</f>
        <v>517</v>
      </c>
      <c r="P4" s="58">
        <f>SUM(P9,P14,P19,P24,P29,P40,P51,P56,P61,P66,P71,P76,P81,P86,P91,P96,P107,P112,P117,P128,P133,P144,P149,P154,P159,P164,P169,P174,P179,P184,P189,P205,P210,P215,P220,P225,P230,P235,P240,P245,P250,P255,P266,P277,P282,P287,P292,P297,P302,P307,P312,P317,P322,P327,P332,P337,P348,P359,P364,P369,P374,P379,P384,P395,P400,P416,P421,P426,P431,P436,P441,P446)</f>
        <v>9</v>
      </c>
      <c r="Q4" s="58">
        <f>SUM(Q9,Q14,Q19,Q24,Q29,Q40,Q51,Q56,Q61,Q66,Q71,Q76,Q81,Q86,Q91,Q96,Q107,Q112,Q117,Q128,Q133,Q144,Q149,Q154,Q159,Q164,Q169,Q174,Q179,Q184,Q189,Q205,Q210,Q215,Q220,Q225,Q230,Q235,Q240,Q245,Q250,Q255,Q266,Q277,Q282,Q287,Q292,Q297,Q302,Q307,Q312,Q317,Q322,Q327,Q332,Q337,Q348,Q359,Q364,Q369,Q374,Q379,Q384,Q395,Q400,Q416,Q421,Q426,Q431,Q436,Q441,Q446)</f>
        <v>0</v>
      </c>
      <c r="R4" s="58">
        <f>SUM(R9,R14,R19,R24,R29,R40,R51,R56,R61,R66,R71,R76,R81,R86,R91,R96,R107,R112,R117,R128,R133,R144,R149,R154,R159,R164,R169,R174,R179,R184,R189,R205,R210,R215,R220,R225,R230,R235,R240,R245,R250,R255,R266,R277,R282,R287,R292,R297,R302,R307,R312,R317,R322,R327,R332,R337,R348,R359,R364,R369,R374,R379,R384,R395,R400,R416,R421,R426,R431,R436,R441,R446)</f>
        <v>0</v>
      </c>
      <c r="S4" s="58">
        <f>SUM(P4:R4)</f>
        <v>9</v>
      </c>
      <c r="T4" s="58">
        <f>SUM(T9,T14,T19,T24,T29,T40,T51,T56,T61,T66,T71,T76,T81,T86,T91,T96,T107,T112,T117,T128,T133,T144,T149,T154,T159,T164,T169,T174,T179,T184,T189,T205,T210,T215,T220,T225,T230,T235,T240,T245,T250,T255,T266,T277,T282,T287,T292,T297,T302,T307,T312,T317,T322,T327,T332,T337,T348,T359,T364,T369,T374,T379,T384,T395,T400,T416,T421,T426,T431,T436,T441,T446)</f>
        <v>1</v>
      </c>
      <c r="U4" s="58">
        <f>SUM(U9,U14,U19,U24,U29,U40,U51,U56,U61,U66,U71,U76,U81,U86,U91,U96,U107,U112,U117,U128,U133,U144,U149,U154,U159,U164,U169,U174,U179,U184,U189,U205,U210,U215,U220,U225,U230,U235,U240,U245,U250,U255,U266,U277,U282,U287,U292,U297,U302,U307,U312,U317,U322,U327,U332,U337,U348,U359,U364,U369,U374,U379,U384,U395,U400,U416,U421,U426,U431,U436,U441,U446)</f>
        <v>0</v>
      </c>
      <c r="V4" s="58">
        <f>SUM(V9,V14,V19,V24,V29,V40,V51,V56,V61,V66,V71,V76,V81,V86,V91,V96,V107,V112,V117,V128,V133,V144,V149,V154,V159,V164,V169,V174,V179,V184,V189,V205,V210,V215,V220,V225,V230,V235,V240,V245,V250,V255,V266,V277,V282,V287,V292,V297,V302,V307,V312,V317,V322,V327,V332,V337,V348,V359,V364,V369,V374,V379,V384,V395,V400,V416,V421,V426,V431,V436,V441,V446)</f>
        <v>0</v>
      </c>
      <c r="W4" s="58">
        <f>SUM(T4:V4)</f>
        <v>1</v>
      </c>
      <c r="X4" s="58">
        <f>SUM(X9,X14,X19,X24,X29,X40,X51,X56,X61,X66,X71,X76,X81,X86,X91,X96,X107,X112,X117,X128,X133,X144,X149,X154,X159,X164,X169,X174,X179,X184,X189,X205,X210,X215,X220,X225,X230,X235,X240,X245,X250,X255,X266,X277,X282,X287,X292,X297,X302,X307,X312,X317,X322,X327,X332,X337,X348,X359,X364,X369,X374,X379,X384,X395,X400,X416,X421,X426,X431,X436,X441,X446)</f>
        <v>112</v>
      </c>
      <c r="Y4" s="58">
        <f>SUM(Y9,Y14,Y19,Y24,Y29,Y40,Y51,Y56,Y61,Y66,Y71,Y76,Y81,Y86,Y91,Y96,Y107,Y112,Y117,Y128,Y133,Y144,Y149,Y154,Y159,Y164,Y169,Y174,Y179,Y184,Y189,Y205,Y210,Y215,Y220,Y225,Y230,Y235,Y240,Y245,Y250,Y255,Y266,Y277,Y282,Y287,Y292,Y297,Y302,Y307,Y312,Y317,Y322,Y327,Y332,Y337,Y348,Y359,Y364,Y369,Y374,Y379,Y384,Y395,Y400,Y416,Y421,Y426,Y431,Y436,Y441,Y446)</f>
        <v>9</v>
      </c>
      <c r="Z4" s="58">
        <f>SUM(Z9,Z14,Z19,Z24,Z29,Z40,Z51,Z56,Z61,Z66,Z71,Z76,Z81,Z86,Z91,Z96,Z107,Z112,Z117,Z128,Z133,Z144,Z149,Z154,Z159,Z164,Z169,Z174,Z179,Z184,Z189,Z205,Z210,Z215,Z220,Z225,Z230,Z235,Z240,Z245,Z250,Z255,Z266,Z277,Z282,Z287,Z292,Z297,Z302,Z307,Z312,Z317,Z322,Z327,Z332,Z337,Z348,Z359,Z364,Z369,Z374,Z379,Z384,Z395,Z400,Z416,Z421,Z426,Z431,Z436,Z441,Z446)</f>
        <v>2</v>
      </c>
      <c r="AA4" s="58">
        <f>SUM(X4:Z4)</f>
        <v>123</v>
      </c>
      <c r="AB4" s="58">
        <f>SUM(AB9,AB14,AB19,AB24,AB29,AB40,AB51,AB56,AB61,AB66,AB71,AB76,AB81,AB86,AB91,AB96,AB107,AB112,AB117,AB128,AB133,AB144,AB149,AB154,AB159,AB164,AB169,AB174,AB179,AB184,AB189,AB205,AB210,AB215,AB220,AB225,AB230,AB235,AB240,AB245,AB250,AB255,AB266,AB277,AB282,AB287,AB292,AB297,AB302,AB307,AB312,AB317,AB322,AB327,AB332,AB337,AB348,AB359,AB364,AB369,AB374,AB379,AB384,AB395,AB400,AB416,AB421,AB426,AB431,AB436,AB441,AB446)</f>
        <v>426</v>
      </c>
      <c r="AC4" s="58">
        <f>SUM(AC9,AC14,AC19,AC24,AC29,AC40,AC51,AC56,AC61,AC66,AC71,AC76,AC81,AC86,AC91,AC96,AC107,AC112,AC117,AC128,AC133,AC144,AC149,AC154,AC159,AC164,AC169,AC174,AC179,AC184,AC189,AC205,AC210,AC215,AC220,AC225,AC230,AC235,AC240,AC245,AC250,AC255,AC266,AC277,AC282,AC287,AC292,AC297,AC302,AC307,AC312,AC317,AC322,AC327,AC332,AC337,AC348,AC359,AC364,AC369,AC374,AC379,AC384,AC395,AC400,AC416,AC421,AC426,AC431,AC436,AC441,AC446)</f>
        <v>40</v>
      </c>
      <c r="AD4" s="58">
        <f>SUM(AD9,AD14,AD19,AD24,AD29,AD40,AD51,AD56,AD61,AD66,AD71,AD76,AD81,AD86,AD91,AD96,AD107,AD112,AD117,AD128,AD133,AD144,AD149,AD154,AD159,AD164,AD169,AD174,AD179,AD184,AD189,AD205,AD210,AD215,AD220,AD225,AD230,AD235,AD240,AD245,AD250,AD255,AD266,AD277,AD282,AD287,AD292,AD297,AD302,AD307,AD312,AD317,AD322,AD327,AD332,AD337,AD348,AD359,AD364,AD369,AD374,AD379,AD384,AD395,AD400,AD416,AD421,AD426,AD431,AD436,AD441,AD446)</f>
        <v>12</v>
      </c>
      <c r="AE4" s="58">
        <f>SUM(AB4:AD4)</f>
        <v>478</v>
      </c>
      <c r="AF4" s="58">
        <f t="shared" ref="AF4:AF67" si="0">SUM(G4,K4,O4,S4,W4,AA4,AE4)</f>
        <v>3456</v>
      </c>
    </row>
    <row r="5" spans="1:38" hidden="1" x14ac:dyDescent="0.35">
      <c r="A5" s="59" t="s">
        <v>223</v>
      </c>
      <c r="B5" s="54" t="s">
        <v>224</v>
      </c>
      <c r="C5" s="60" t="s">
        <v>225</v>
      </c>
      <c r="D5" s="60">
        <v>4</v>
      </c>
      <c r="E5" s="60"/>
      <c r="F5" s="60"/>
      <c r="G5" s="61">
        <f>SUM(D5:F5)</f>
        <v>4</v>
      </c>
      <c r="H5" s="60"/>
      <c r="I5" s="60"/>
      <c r="J5" s="60"/>
      <c r="K5" s="61">
        <f>SUM(H5:J5)</f>
        <v>0</v>
      </c>
      <c r="L5" s="60">
        <v>1</v>
      </c>
      <c r="M5" s="60"/>
      <c r="N5" s="60"/>
      <c r="O5" s="61">
        <f>SUM(L5:N5)</f>
        <v>1</v>
      </c>
      <c r="P5" s="60"/>
      <c r="Q5" s="60"/>
      <c r="R5" s="60"/>
      <c r="S5" s="61">
        <f>SUM(P5:R5)</f>
        <v>0</v>
      </c>
      <c r="T5" s="60"/>
      <c r="U5" s="60"/>
      <c r="V5" s="60"/>
      <c r="W5" s="61">
        <f>SUM(T5:V5)</f>
        <v>0</v>
      </c>
      <c r="X5" s="60"/>
      <c r="Y5" s="60"/>
      <c r="Z5" s="60"/>
      <c r="AA5" s="61">
        <f>SUM(X5:Z5)</f>
        <v>0</v>
      </c>
      <c r="AB5" s="60">
        <v>12</v>
      </c>
      <c r="AC5" s="60"/>
      <c r="AD5" s="60"/>
      <c r="AE5" s="61">
        <f>SUM(AB5:AD5)</f>
        <v>12</v>
      </c>
      <c r="AF5" s="62">
        <f t="shared" si="0"/>
        <v>17</v>
      </c>
    </row>
    <row r="6" spans="1:38" ht="16.5" hidden="1" customHeight="1" x14ac:dyDescent="0.35">
      <c r="A6" s="113" t="s">
        <v>226</v>
      </c>
      <c r="C6" s="63" t="s">
        <v>227</v>
      </c>
      <c r="D6" s="63">
        <v>11</v>
      </c>
      <c r="E6" s="63"/>
      <c r="F6" s="63"/>
      <c r="G6" s="61">
        <f>SUM(D6:F6)</f>
        <v>11</v>
      </c>
      <c r="H6" s="63"/>
      <c r="I6" s="63"/>
      <c r="J6" s="63"/>
      <c r="K6" s="61">
        <f>SUM(H6:J6)</f>
        <v>0</v>
      </c>
      <c r="L6" s="63">
        <v>2</v>
      </c>
      <c r="M6" s="63"/>
      <c r="N6" s="63"/>
      <c r="O6" s="61">
        <f>SUM(L6:N6)</f>
        <v>2</v>
      </c>
      <c r="P6" s="63"/>
      <c r="Q6" s="63"/>
      <c r="R6" s="63"/>
      <c r="S6" s="61">
        <f>SUM(P6:R6)</f>
        <v>0</v>
      </c>
      <c r="T6" s="63"/>
      <c r="U6" s="63"/>
      <c r="V6" s="63"/>
      <c r="W6" s="61">
        <f>SUM(T6:V6)</f>
        <v>0</v>
      </c>
      <c r="X6" s="63"/>
      <c r="Y6" s="63"/>
      <c r="Z6" s="63"/>
      <c r="AA6" s="61">
        <f>SUM(X6:Z6)</f>
        <v>0</v>
      </c>
      <c r="AB6" s="63">
        <v>8</v>
      </c>
      <c r="AC6" s="63"/>
      <c r="AD6" s="63"/>
      <c r="AE6" s="61">
        <f>SUM(AB6:AD6)</f>
        <v>8</v>
      </c>
      <c r="AF6" s="64">
        <f t="shared" si="0"/>
        <v>21</v>
      </c>
      <c r="AH6" s="124" t="s">
        <v>392</v>
      </c>
      <c r="AI6" s="125"/>
      <c r="AJ6" s="125"/>
      <c r="AK6" s="125"/>
      <c r="AL6" s="126"/>
    </row>
    <row r="7" spans="1:38" hidden="1" x14ac:dyDescent="0.35">
      <c r="A7" s="113"/>
      <c r="C7" s="60" t="s">
        <v>228</v>
      </c>
      <c r="D7" s="60">
        <v>6</v>
      </c>
      <c r="E7" s="60"/>
      <c r="F7" s="60"/>
      <c r="G7" s="61">
        <f>SUM(D7:F7)</f>
        <v>6</v>
      </c>
      <c r="H7" s="60"/>
      <c r="I7" s="60"/>
      <c r="J7" s="60"/>
      <c r="K7" s="61">
        <f>SUM(H7:J7)</f>
        <v>0</v>
      </c>
      <c r="L7" s="60">
        <v>2</v>
      </c>
      <c r="M7" s="60"/>
      <c r="N7" s="60"/>
      <c r="O7" s="61">
        <f>SUM(L7:N7)</f>
        <v>2</v>
      </c>
      <c r="P7" s="60"/>
      <c r="Q7" s="60"/>
      <c r="R7" s="60"/>
      <c r="S7" s="61">
        <f>SUM(P7:R7)</f>
        <v>0</v>
      </c>
      <c r="T7" s="60"/>
      <c r="U7" s="60"/>
      <c r="V7" s="60"/>
      <c r="W7" s="61">
        <f>SUM(T7:V7)</f>
        <v>0</v>
      </c>
      <c r="X7" s="60"/>
      <c r="Y7" s="60"/>
      <c r="Z7" s="60"/>
      <c r="AA7" s="61">
        <f>SUM(X7:Z7)</f>
        <v>0</v>
      </c>
      <c r="AB7" s="60">
        <v>13</v>
      </c>
      <c r="AC7" s="60"/>
      <c r="AD7" s="60"/>
      <c r="AE7" s="61">
        <f>SUM(AB7:AD7)</f>
        <v>13</v>
      </c>
      <c r="AF7" s="65">
        <f t="shared" si="0"/>
        <v>21</v>
      </c>
      <c r="AH7" s="60"/>
      <c r="AI7" s="63" t="s">
        <v>391</v>
      </c>
      <c r="AJ7" s="63" t="s">
        <v>390</v>
      </c>
      <c r="AK7" s="63" t="s">
        <v>389</v>
      </c>
      <c r="AL7" s="63" t="s">
        <v>388</v>
      </c>
    </row>
    <row r="8" spans="1:38" hidden="1" x14ac:dyDescent="0.35">
      <c r="C8" s="63" t="s">
        <v>229</v>
      </c>
      <c r="D8" s="63">
        <v>9</v>
      </c>
      <c r="E8" s="63"/>
      <c r="F8" s="63"/>
      <c r="G8" s="61">
        <f>SUM(D8:F8)</f>
        <v>9</v>
      </c>
      <c r="H8" s="63"/>
      <c r="I8" s="63"/>
      <c r="J8" s="63"/>
      <c r="K8" s="61">
        <f>SUM(H8:J8)</f>
        <v>0</v>
      </c>
      <c r="L8" s="63"/>
      <c r="M8" s="63"/>
      <c r="N8" s="63"/>
      <c r="O8" s="61">
        <f>SUM(L8:N8)</f>
        <v>0</v>
      </c>
      <c r="P8" s="63"/>
      <c r="Q8" s="63"/>
      <c r="R8" s="63"/>
      <c r="S8" s="61">
        <f>SUM(P8:R8)</f>
        <v>0</v>
      </c>
      <c r="T8" s="63"/>
      <c r="U8" s="63"/>
      <c r="V8" s="63"/>
      <c r="W8" s="61">
        <f>SUM(T8:V8)</f>
        <v>0</v>
      </c>
      <c r="X8" s="63">
        <v>1</v>
      </c>
      <c r="Y8" s="63"/>
      <c r="Z8" s="63"/>
      <c r="AA8" s="61">
        <f>SUM(X8:Z8)</f>
        <v>1</v>
      </c>
      <c r="AB8" s="63">
        <v>7</v>
      </c>
      <c r="AC8" s="63"/>
      <c r="AD8" s="63"/>
      <c r="AE8" s="61">
        <f>SUM(AB8:AD8)</f>
        <v>7</v>
      </c>
      <c r="AF8" s="63">
        <f t="shared" si="0"/>
        <v>17</v>
      </c>
      <c r="AH8" s="63" t="s">
        <v>387</v>
      </c>
      <c r="AI8" s="60">
        <f>SUM(G5,G10,G15,G20,G25,G30,G35,G41,G46,G52,G57,G62,G67,G72,G77,G82,G87,G92,G97,G102,G108,G113,G118,G123,G129,G134,G139,G145,G150,G155,G160,G165,G170,G175,G180,G185,G190,G195,G200,G206,G211,G216,G221,G226,G231,G236,G241,G246,G251,G256,G261,G267,G272,G278,G283,G288,G293,G298,G303,G308,G313,G318,G323,G328,G333,G338,G343,G349,G360,G365,G370,G375,G380,G385,G390,G396,G401,G406,G411,G417,G422,G427,G432,G437,G442)</f>
        <v>632</v>
      </c>
      <c r="AJ8" s="60">
        <f>SUM(G6,G11,G16,G21,G26,G31,G36,G42,G47,G53,G58,G63,G68,G73,G78,G83,G88,G93,G98,G103,G109,G114,G119,G124,G130,G135,G140,G146,G151,G156,G161,G166,G171,G176,G181,G186,G191,G196,G201,G207,G212,G217,G222,G227,G232,G237,G242,G247,G252,G257,G262,G268,G273,G279,G284,G289,G294,G299,G304,G309,G314,G319,G324,G329,G334,G339,G344,G350,G361,G366,G371,G376,G381,G386,G391,G397,G402,G407,G412,G418,G423,G428,G433,G438,G443)</f>
        <v>533</v>
      </c>
      <c r="AK8" s="60">
        <f>SUM(G7,G12,G17,G22,G27,G32,G37,G43,G48,G54,G59,G64,G69,G74,G79,G84,G89,G94,G99,G104,G110,G115,G120,G125,G131,G136,G141,G147,G152,G157,G162,G167,G172,G177,G182,G187,G192,G197,G202,G208,G213,G218,G223,G228,G233,G238,G243,G248,G253,G258,G263,G269,G274,G280,G285,G290,G295,G300,G305,G310,G315,G320,G325,G330,G335,G340,G345,G351,G362,G367,G372,G377,G382,G387,G392,G398,G403,G408,G413,G419,G424,G429,G434,G439,G444)</f>
        <v>475</v>
      </c>
      <c r="AL8" s="60">
        <f>SUM(G8,G13,G18,G23,G28,G33,G38,G44,G49,G55,G60,G65,G70,G75,G80,G85,G90,G95,G100,G105,G111,G116,G121,G126,G132,G137,G142,G148,G153,G158,G163,G168,G173,G178,G183,G188,G193,G198,G203,G209,G214,G219,G224,G229,G234,G239,G244,G249,G254,G259,G264,G270,G275,G281,G286,G291,G296,G301,G306,G311,G316,G321,G326,G331,G336,G341,G346,G352,G363,G368,G373,G378,G383,G388,G393,G399,G404,G409,G414,G420,G425,G430,G435,G440,G445)</f>
        <v>573</v>
      </c>
    </row>
    <row r="9" spans="1:38" x14ac:dyDescent="0.35">
      <c r="A9" s="66" t="s">
        <v>223</v>
      </c>
      <c r="B9" s="67" t="s">
        <v>224</v>
      </c>
      <c r="C9" s="66"/>
      <c r="D9" s="66">
        <f t="shared" ref="D9:AE9" si="1">SUM(D5:D8)</f>
        <v>30</v>
      </c>
      <c r="E9" s="66">
        <f t="shared" si="1"/>
        <v>0</v>
      </c>
      <c r="F9" s="66">
        <f t="shared" si="1"/>
        <v>0</v>
      </c>
      <c r="G9" s="61">
        <f t="shared" si="1"/>
        <v>30</v>
      </c>
      <c r="H9" s="66">
        <f t="shared" si="1"/>
        <v>0</v>
      </c>
      <c r="I9" s="66">
        <f t="shared" si="1"/>
        <v>0</v>
      </c>
      <c r="J9" s="66">
        <f t="shared" si="1"/>
        <v>0</v>
      </c>
      <c r="K9" s="61">
        <f t="shared" si="1"/>
        <v>0</v>
      </c>
      <c r="L9" s="66">
        <f t="shared" si="1"/>
        <v>5</v>
      </c>
      <c r="M9" s="66">
        <f t="shared" si="1"/>
        <v>0</v>
      </c>
      <c r="N9" s="66">
        <f t="shared" si="1"/>
        <v>0</v>
      </c>
      <c r="O9" s="61">
        <f t="shared" si="1"/>
        <v>5</v>
      </c>
      <c r="P9" s="66">
        <f t="shared" si="1"/>
        <v>0</v>
      </c>
      <c r="Q9" s="66">
        <f t="shared" si="1"/>
        <v>0</v>
      </c>
      <c r="R9" s="66">
        <f t="shared" si="1"/>
        <v>0</v>
      </c>
      <c r="S9" s="61">
        <f t="shared" si="1"/>
        <v>0</v>
      </c>
      <c r="T9" s="66">
        <f t="shared" si="1"/>
        <v>0</v>
      </c>
      <c r="U9" s="66">
        <f t="shared" si="1"/>
        <v>0</v>
      </c>
      <c r="V9" s="66">
        <f t="shared" si="1"/>
        <v>0</v>
      </c>
      <c r="W9" s="61">
        <f t="shared" si="1"/>
        <v>0</v>
      </c>
      <c r="X9" s="66">
        <f t="shared" si="1"/>
        <v>1</v>
      </c>
      <c r="Y9" s="66">
        <f t="shared" si="1"/>
        <v>0</v>
      </c>
      <c r="Z9" s="66">
        <f t="shared" si="1"/>
        <v>0</v>
      </c>
      <c r="AA9" s="61">
        <f t="shared" si="1"/>
        <v>1</v>
      </c>
      <c r="AB9" s="66">
        <f t="shared" si="1"/>
        <v>40</v>
      </c>
      <c r="AC9" s="66">
        <f t="shared" si="1"/>
        <v>0</v>
      </c>
      <c r="AD9" s="66">
        <f t="shared" si="1"/>
        <v>0</v>
      </c>
      <c r="AE9" s="61">
        <f t="shared" si="1"/>
        <v>40</v>
      </c>
      <c r="AF9" s="68">
        <f t="shared" si="0"/>
        <v>76</v>
      </c>
      <c r="AH9" s="63" t="s">
        <v>386</v>
      </c>
      <c r="AI9" s="60">
        <f>SUM(K5,K10,K15,K20,K25,K30,K35,K41,K46,K52,K57,K62,K67,K72,K77,K82,K87,K92,K97,K102,K108,K113,K118,K123,K129,K134,K139,K145,K150,K155,K160,K165,K170,K175,K180,K185,K190,K195,K200,K206,K211,K216,K221,K226,K231,K236,K241,K246,K251,K256,K261,K267,K272,K278,K283,K288,K293,K298,K303,K308,K313,K318,K323,K328,K333,K338,K343,K349,K360,K365,K370,K375,K380,K385,K390,K396,K401,K406,K411,K417,K422,K427,K432,K437,K442)</f>
        <v>32</v>
      </c>
      <c r="AJ9" s="60">
        <f>SUM(K6,K11,K16,K21,K26,K31,K36,K42,K47,K53,K58,K63,K68,K73,K78,K83,K88,K93,K98,K103,K109,K114,K119,K124,K130,K135,K140,K146,K151,K156,K161,K166,K171,K176,K181,K186,K191,K196,K201,K207,K212,K217,K222,K227,K232,K237,K242,K247,K252,K257,K262,K268,K273,K279,K284,K289,K294,K299,K304,K309,K314,K319,K324,K329,K334,K339,K344,K350,K361,K366,K371,K376,K381,K386,K391,K397,K402,K407,K412,K418,K423,K428,K433,K438,K443)</f>
        <v>29</v>
      </c>
      <c r="AK9" s="60">
        <f>SUM(K7,K12,K17,K22,K27,K32,K37,K43,K48,K54,K59,K64,K69,K74,K79,K84,K89,K94,K99,K104,K110,K115,K120,K125,K131,K136,K141,K147,K152,K157,K162,K167,K172,K177,K182,K187,K192,K197,K202,K208,K213,K218,K223,K228,K233,K238,K243,K248,K253,K258,K263,K269,K274,K280,K285,K290,K295,K300,K305,K310,K315,K320,K325,K330,K335,K340,K345,K351,K362,K367,K372,K377,K382,K387,K392,K398,K403,K408,K413,K419,K424,K429,K434,K439,K444)</f>
        <v>32</v>
      </c>
      <c r="AL9" s="60">
        <f>SUM(K8,K13,K18,K23,K28,K33,K38,K44,K49,K55,K60,K65,K70,K75,K80,K85,K90,K95,K100,K105,K111,K116,K121,K126,K132,K137,K142,K148,K153,K158,K163,K168,K173,K178,K183,K188,K193,K198,K203,K209,K214,K219,K224,K229,K234,K239,K244,K249,K254,K259,K264,K270,K275,K281,K286,K291,K296,K301,K306,K311,K316,K321,K326,K331,K336,K341,K346,K352,K363,K368,K373,K378,K383,K388,K393,K399,K404,K409,K414,K420,K425,K430,K435,K440,K445)</f>
        <v>22</v>
      </c>
    </row>
    <row r="10" spans="1:38" hidden="1" x14ac:dyDescent="0.35">
      <c r="A10" s="59" t="s">
        <v>230</v>
      </c>
      <c r="B10" s="54">
        <v>23</v>
      </c>
      <c r="C10" s="60" t="s">
        <v>225</v>
      </c>
      <c r="D10" s="60">
        <v>1</v>
      </c>
      <c r="E10" s="60"/>
      <c r="F10" s="60"/>
      <c r="G10" s="61">
        <f>SUM(D10:F10)</f>
        <v>1</v>
      </c>
      <c r="H10" s="60"/>
      <c r="I10" s="60"/>
      <c r="J10" s="60"/>
      <c r="K10" s="61">
        <f>SUM(H10:J10)</f>
        <v>0</v>
      </c>
      <c r="L10" s="60"/>
      <c r="M10" s="60"/>
      <c r="N10" s="60"/>
      <c r="O10" s="61">
        <f>SUM(L10:N10)</f>
        <v>0</v>
      </c>
      <c r="P10" s="60"/>
      <c r="Q10" s="60"/>
      <c r="R10" s="60"/>
      <c r="S10" s="61">
        <f>SUM(P10:R10)</f>
        <v>0</v>
      </c>
      <c r="T10" s="60"/>
      <c r="U10" s="60"/>
      <c r="V10" s="60"/>
      <c r="W10" s="61">
        <f>SUM(T10:V10)</f>
        <v>0</v>
      </c>
      <c r="X10" s="60"/>
      <c r="Y10" s="60"/>
      <c r="Z10" s="60"/>
      <c r="AA10" s="61">
        <f>SUM(X10:Z10)</f>
        <v>0</v>
      </c>
      <c r="AB10" s="60"/>
      <c r="AC10" s="60"/>
      <c r="AD10" s="60"/>
      <c r="AE10" s="61">
        <f>SUM(AB10:AD10)</f>
        <v>0</v>
      </c>
      <c r="AF10" s="62">
        <f t="shared" si="0"/>
        <v>1</v>
      </c>
      <c r="AH10" s="63" t="s">
        <v>213</v>
      </c>
      <c r="AI10" s="60">
        <f>SUM(O5,O10,O15,O20,O25,O30,O35,O41,O46,O52,O57,O62,O67,O72,O77,O82,O87,O92,O97,O102,O108,O113,O118,O123,O129,O134,O139,O145,O150,O155,O160,O165,O170,O175,O180,O185,O190,O195,O200,O206,O211,O216,O221,O226,O231,O236,O241,O246,O251,O256,O261,O267,O272,O278,O283,O288,O293,O298,O303,O308,O313,O318,O323,O328,O333,O338,O343,O349,O360,O365,O370,O375,O380,O385,O390,O396,O401,O406,O411,O417,O422,O427,O432,O437,O442)</f>
        <v>126</v>
      </c>
      <c r="AJ10" s="60">
        <f>SUM(O6,O11,O16,O21,O26,O31,O36,O42,O47,O53,O58,O63,O68,O73,O78,O83,O88,O93,O98,O103,O109,O114,O119,O124,O130,O135,O140,O146,O151,O156,O161,O166,O171,O176,O181,O186,O191,O196,O201,O207,O212,O217,O222,O227,O232,O237,O242,O247,O252,O257,O262,O268,O273,O279,O284,O289,O294,O299,O304,O309,O314,O319,O324,O329,O334,O339,O344,O350,O361,O366,O371,O376,O381,O386,O391,O397,O402,O407,O412,O418,O423,O428,O433,O438,O443)</f>
        <v>134</v>
      </c>
      <c r="AK10" s="60">
        <f>SUM(O7,O12,O17,O22,O27,O32,O37,O43,O48,O54,O59,O64,O69,O74,O79,O84,O89,O94,O99,O104,O110,O115,O120,O125,O131,O136,O141,O147,O152,O157,O162,O167,O172,O177,O182,O187,O192,O197,O202,O208,O213,O218,O223,O228,O233,O238,O243,O248,O253,O258,O263,O269,O274,O280,O285,O290,O295,O300,O305,O310,O315,O320,O325,O330,O335,O340,O345,O351,O362,O367,O372,O377,O382,O387,O392,O398,O403,O408,O413,O419,O424,O429,O434,O439,O444)</f>
        <v>102</v>
      </c>
      <c r="AL10" s="60">
        <f>SUM(O8,O13,O18,O23,O28,O33,O38,O44,O49,O55,O60,O65,O70,O75,O80,O85,O90,O95,O100,O105,O111,O116,O121,O126,O132,O137,O142,O148,O153,O158,O163,O168,O173,O178,O183,O188,O193,O198,O203,O209,O214,O219,O224,O229,O234,O239,O244,O249,O254,O259,O264,O270,O275,O281,O286,O291,O296,O301,O306,O311,O316,O321,O326,O331,O336,O341,O346,O352,O363,O368,O373,O378,O383,O388,O393,O399,O404,O409,O414,O420,O425,O430,O435,O440,O445)</f>
        <v>154</v>
      </c>
    </row>
    <row r="11" spans="1:38" hidden="1" x14ac:dyDescent="0.35">
      <c r="A11" s="130" t="s">
        <v>231</v>
      </c>
      <c r="C11" s="63" t="s">
        <v>227</v>
      </c>
      <c r="D11" s="63"/>
      <c r="E11" s="63"/>
      <c r="F11" s="63"/>
      <c r="G11" s="61">
        <f>SUM(D11:F11)</f>
        <v>0</v>
      </c>
      <c r="H11" s="63"/>
      <c r="I11" s="63"/>
      <c r="J11" s="63"/>
      <c r="K11" s="61">
        <f>SUM(H11:J11)</f>
        <v>0</v>
      </c>
      <c r="L11" s="63"/>
      <c r="M11" s="63"/>
      <c r="N11" s="63"/>
      <c r="O11" s="61">
        <f>SUM(L11:N11)</f>
        <v>0</v>
      </c>
      <c r="P11" s="63"/>
      <c r="Q11" s="63"/>
      <c r="R11" s="63"/>
      <c r="S11" s="61">
        <f>SUM(P11:R11)</f>
        <v>0</v>
      </c>
      <c r="T11" s="63"/>
      <c r="U11" s="63"/>
      <c r="V11" s="63"/>
      <c r="W11" s="61">
        <f>SUM(T11:V11)</f>
        <v>0</v>
      </c>
      <c r="X11" s="63"/>
      <c r="Y11" s="63"/>
      <c r="Z11" s="63"/>
      <c r="AA11" s="61">
        <f>SUM(X11:Z11)</f>
        <v>0</v>
      </c>
      <c r="AB11" s="63"/>
      <c r="AC11" s="63"/>
      <c r="AD11" s="63"/>
      <c r="AE11" s="61">
        <f>SUM(AB11:AD11)</f>
        <v>0</v>
      </c>
      <c r="AF11" s="64">
        <f t="shared" si="0"/>
        <v>0</v>
      </c>
      <c r="AH11" s="63" t="s">
        <v>385</v>
      </c>
      <c r="AI11" s="60">
        <f>SUM(S5,S10,S15,S20,S25,S30,S35,S41,S46,S52,S57,S62,S67,S72,S77,S82,S87,S92,S97,S102,S108,S113,S118,S123,S129,S134,S139,S145,S150,S155,S160,S165,S170,S175,S180,S185,S190,S195,S200,S206,S211,S216,S221,S226,S231,S236,S241,S246,S251,S256,S261,S267,S272,S278,S283,S288,S293,S298,S303,S308,S313,S318,S323,S328,S333,S338,S343,S349,S360,S365,S370,S375,S380,S385,S390,S396,S401,S406,S411,S417,S422,S427,S432,S437,S442)</f>
        <v>1</v>
      </c>
      <c r="AJ11" s="60">
        <f>SUM(S6,S11,S16,S21,S26,S31,S36,S42,S47,S53,S58,S63,S68,S73,S78,S83,S88,S93,S98,S103,S109,S114,S119,S124,S130,S135,S140,S146,S151,S156,S161,S166,S171,S176,S181,S186,S191,S196,S201,S207,S212,S217,S222,S227,S232,S237,S242,S247,S252,S257,S262,S268,S273,S279,S284,S289,S294,S299,S304,S309,S314,S319,S324,S329,S334,S339,S344,S350,S361,S366,S371,S376,S381,S386,S391,S397,S402,S407,S412,S418,S423,S428,S433,S438,S443)</f>
        <v>3</v>
      </c>
      <c r="AK11" s="60">
        <f>SUM(S7,S12,S17,S22,S27,S32,S37,S43,S48,S54,S59,S64,S69,S74,S79,S84,S89,S94,S99,S104,S110,S115,S120,S125,S131,S136,S141,S147,S152,S157,S162,S167,S172,S177,S182,S187,S192,S197,S202,S208,S213,S218,S223,S228,S233,S238,S243,S248,S253,S258,S263,S269,S274,S280,S285,S290,S295,S300,S305,S310,S315,S320,S325,S330,S335,S340,S345,S351,S362,S367,S372,S377,S382,S387,S392,S398,S403,S408,S413,S419,S424,S429,S434,S439,S444)</f>
        <v>1</v>
      </c>
      <c r="AL11" s="60">
        <f>SUM(S8,S13,S18,S23,S28,S33,S38,S44,S49,S55,S60,S65,S70,S75,S80,S85,S90,S95,S100,S105,S111,S116,S121,S126,S132,S137,S142,S148,S153,S158,S163,S168,S173,S178,S183,S188,S193,S198,S203,S209,S214,S219,S224,S229,S234,S239,S244,S249,S254,S259,S264,S270,S275,S281,S286,S291,S296,S301,S306,S311,S316,S321,S326,S331,S336,S341,S346,S352,S363,S368,S373,S378,S383,S388,S393,S399,S404,S409,S414,S420,S425,S430,S435,S440,S445)</f>
        <v>4</v>
      </c>
    </row>
    <row r="12" spans="1:38" hidden="1" x14ac:dyDescent="0.35">
      <c r="A12" s="130"/>
      <c r="C12" s="60" t="s">
        <v>228</v>
      </c>
      <c r="D12" s="60"/>
      <c r="E12" s="60"/>
      <c r="F12" s="60"/>
      <c r="G12" s="61">
        <f>SUM(D12:F12)</f>
        <v>0</v>
      </c>
      <c r="H12" s="60"/>
      <c r="I12" s="60"/>
      <c r="J12" s="60"/>
      <c r="K12" s="61">
        <f>SUM(H12:J12)</f>
        <v>0</v>
      </c>
      <c r="L12" s="60"/>
      <c r="M12" s="60"/>
      <c r="N12" s="60"/>
      <c r="O12" s="61">
        <f>SUM(L12:N12)</f>
        <v>0</v>
      </c>
      <c r="P12" s="60"/>
      <c r="Q12" s="60"/>
      <c r="R12" s="60"/>
      <c r="S12" s="61">
        <f>SUM(P12:R12)</f>
        <v>0</v>
      </c>
      <c r="T12" s="60"/>
      <c r="U12" s="60"/>
      <c r="V12" s="60"/>
      <c r="W12" s="61">
        <f>SUM(T12:V12)</f>
        <v>0</v>
      </c>
      <c r="X12" s="60"/>
      <c r="Y12" s="60"/>
      <c r="Z12" s="60"/>
      <c r="AA12" s="61">
        <f>SUM(X12:Z12)</f>
        <v>0</v>
      </c>
      <c r="AB12" s="60"/>
      <c r="AC12" s="60"/>
      <c r="AD12" s="60"/>
      <c r="AE12" s="61">
        <f>SUM(AB12:AD12)</f>
        <v>0</v>
      </c>
      <c r="AF12" s="65">
        <f t="shared" si="0"/>
        <v>0</v>
      </c>
      <c r="AH12" s="63" t="s">
        <v>384</v>
      </c>
      <c r="AI12" s="60">
        <f>SUM(W5,W10,W15,W20,W25,W30,W35,W41,W46,W52,W57,W62,W67,W72,W77,W82,W87,W92,W97,W102,W108,W113,W118,W123,W129,W134,W139,W145,W150,W155,W160,W165,W170,W175,W180,W185,W190,W195,W200,W206,W211,W216,W221,W226,W231,W236,W241,W246,W251,W256,W261,W267,W272,W278,W283,W288,W293,W298,W303,W308,W313,W318,W323,W328,W333,W338,W343,W349,W360,W365,W370,W375,W380,W385,W390,W396,W401,W406,W411,W417,W422,W427,W432,W437,W442)</f>
        <v>0</v>
      </c>
      <c r="AJ12" s="60">
        <f>SUM(W6,W11,W16,W21,W26,W31,W36,W42,W47,W53,W58,W63,W68,W73,W78,W83,W88,W93,W98,W103,W109,W114,W119,W124,W130,W135,W140,W146,W151,W156,W161,W166,W171,W176,W181,W186,W191,W196,W201,W207,W212,W217,W222,W227,W232,W237,W242,W247,W252,W257,W262,W268,W273,W279,W284,W289,W294,W299,W304,W309,W314,W319,W324,W329,W334,W339,W344,W350,W361,W366,W371,W376,W381,W386,W391,W397,W402,W407,W412,W418,W423,W428,W433,W438,W443)</f>
        <v>0</v>
      </c>
      <c r="AK12" s="60">
        <f>SUM(W7,W12,W17,W22,W27,W32,W37,W43,W48,W54,W59,W64,W69,W74,W79,W84,W89,W94,W99,W104,W110,W115,W120,W125,W131,W136,W141,W147,W152,W157,W162,W167,W172,W177,W182,W187,W192,W197,W202,W208,W213,W218,W223,W228,W233,W238,W243,W248,W253,W258,W263,W269,W274,W280,W285,W290,W295,W300,W305,W310,W315,W320,W325,W330,W335,W340,W345,W351,W362,W367,W372,W377,W382,W387,W392,W398,W403,W408,W413,W419,W424,W429,W434,W439,W444)</f>
        <v>1</v>
      </c>
      <c r="AL12" s="60">
        <f>SUM(W8,W13,W18,W23,W28,W33,W38,W44,W49,W55,W60,W65,W70,W75,W80,W85,W90,W95,W100,W105,W111,W116,W121,W126,W132,W137,W142,W148,W153,W158,W163,W168,W173,W178,W183,W188,W193,W198,W203,W209,W214,W219,W224,W229,W234,W239,W244,W249,W254,W259,W264,W270,W275,W281,W286,W291,W296,W301,W306,W311,W316,W321,W326,W331,W336,W341,W346,W352,W363,W368,W373,W378,W383,W388,W393,W399,W404,W409,W414,W420,W425,W430,W435,W440,W445)</f>
        <v>0</v>
      </c>
    </row>
    <row r="13" spans="1:38" hidden="1" x14ac:dyDescent="0.35">
      <c r="A13" s="130"/>
      <c r="C13" s="63" t="s">
        <v>229</v>
      </c>
      <c r="D13" s="63"/>
      <c r="E13" s="63"/>
      <c r="F13" s="63"/>
      <c r="G13" s="61">
        <f>SUM(D13:F13)</f>
        <v>0</v>
      </c>
      <c r="H13" s="63"/>
      <c r="I13" s="63"/>
      <c r="J13" s="63"/>
      <c r="K13" s="61">
        <f>SUM(H13:J13)</f>
        <v>0</v>
      </c>
      <c r="L13" s="63"/>
      <c r="M13" s="63"/>
      <c r="N13" s="63"/>
      <c r="O13" s="61">
        <f>SUM(L13:N13)</f>
        <v>0</v>
      </c>
      <c r="P13" s="63"/>
      <c r="Q13" s="63"/>
      <c r="R13" s="63"/>
      <c r="S13" s="61">
        <f>SUM(P13:R13)</f>
        <v>0</v>
      </c>
      <c r="T13" s="63"/>
      <c r="U13" s="63"/>
      <c r="V13" s="63"/>
      <c r="W13" s="61">
        <f>SUM(T13:V13)</f>
        <v>0</v>
      </c>
      <c r="X13" s="63"/>
      <c r="Y13" s="63"/>
      <c r="Z13" s="63"/>
      <c r="AA13" s="61">
        <f>SUM(X13:Z13)</f>
        <v>0</v>
      </c>
      <c r="AB13" s="63"/>
      <c r="AC13" s="63"/>
      <c r="AD13" s="63"/>
      <c r="AE13" s="61">
        <f>SUM(AB13:AD13)</f>
        <v>0</v>
      </c>
      <c r="AF13" s="69">
        <f t="shared" si="0"/>
        <v>0</v>
      </c>
      <c r="AH13" s="63" t="s">
        <v>383</v>
      </c>
      <c r="AI13" s="60">
        <f>SUM(AA5,AA10,AA15,AA20,AA25,AA30,AA35,AA41,AA46,AA52,AA57,AA62,AA67,AA72,AA77,AA82,AA87,AA92,AA97,AA102,AA108,AA113,AA118,AA123,AA129,AA134,AA139,AA145,AA150,AA155,AA160,AA165,AA170,AA175,AA180,AA185,AA190,AA195,AA200,AA206,AA211,AA216,AA221,AA226,AA231,AA236,AA241,AA246,AA251,AA256,AA261,AA267,AA272,AA278,AA283,AA288,AA293,AA298,AA303,AA308,AA313,AA318,AA323,AA328,AA333,AA338,AA343,AA349,AA360,AA365,AA370,AA375,AA380,AA385,AA390,AA396,AA401,AA406,AA411,AA417,AA422,AA427,AA432,AA437,AA442)</f>
        <v>36</v>
      </c>
      <c r="AJ13" s="60">
        <f>SUM(AA6,AA11,AA16,AA21,AA26,AA31,AA36,AA42,AA47,AA53,AA58,AA63,AA68,AA73,AA78,AA83,AA88,AA93,AA98,AA103,AA109,AA114,AA119,AA124,AA130,AA135,AA140,AA146,AA151,AA156,AA161,AA166,AA171,AA176,AA181,AA186,AA191,AA196,AA201,AA207,AA212,AA217,AA222,AA227,AA232,AA237,AA242,AA247,AA252,AA257,AA262,AA268,AA273,AA279,AA284,AA289,AA294,AA299,AA304,AA309,AA314,AA319,AA324,AA329,AA334,AA339,AA344,AA350,AA361,AA366,AA371,AA376,AA381,AA386,AA391,AA397,AA402,AA407,AA412,AA418,AA423,AA428,AA433,AA438,AA443)</f>
        <v>34</v>
      </c>
      <c r="AK13" s="60">
        <f>SUM(AA7,AA12,AA17,AA22,AA27,AA32,AA37,AA43,AA48,AA54,AA59,AA64,AA69,AA74,AA79,AA84,AA89,AA94,AA99,AA104,AA110,AA115,AA120,AA125,AA131,AA136,AA141,AA147,AA152,AA157,AA162,AA167,AA172,AA177,AA182,AA187,AA192,AA197,AA202,AA208,AA213,AA218,AA223,AA228,AA233,AA238,AA243,AA248,AA253,AA258,AA263,AA269,AA274,AA280,AA285,AA290,AA295,AA300,AA305,AA310,AA315,AA320,AA325,AA330,AA335,AA340,AA345,AA351,AA362,AA367,AA372,AA377,AA382,AA387,AA392,AA398,AA403,AA408,AA413,AA419,AA424,AA429,AA434,AA439,AA444)</f>
        <v>28</v>
      </c>
      <c r="AL13" s="60">
        <f>SUM(AA8,AA13,AA18,AA23,AA28,AA33,AA38,AA44,AA49,AA55,AA60,AA65,AA70,AA75,AA80,AA85,AA90,AA95,AA100,AA105,AA111,AA116,AA121,AA126,AA132,AA137,AA142,AA148,AA153,AA158,AA163,AA168,AA173,AA178,AA183,AA188,AA193,AA198,AA203,AA209,AA214,AA219,AA224,AA229,AA234,AA239,AA244,AA249,AA254,AA259,AA264,AA270,AA275,AA281,AA286,AA291,AA296,AA301,AA306,AA311,AA316,AA321,AA326,AA331,AA336,AA341,AA346,AA352,AA363,AA368,AA373,AA378,AA383,AA388,AA393,AA399,AA404,AA409,AA414,AA420,AA425,AA430,AA435,AA440,AA445)</f>
        <v>25</v>
      </c>
    </row>
    <row r="14" spans="1:38" x14ac:dyDescent="0.35">
      <c r="A14" s="66" t="s">
        <v>230</v>
      </c>
      <c r="B14" s="67">
        <v>23</v>
      </c>
      <c r="C14" s="66"/>
      <c r="D14" s="66">
        <f t="shared" ref="D14:AE14" si="2">SUM(D10:D13)</f>
        <v>1</v>
      </c>
      <c r="E14" s="66">
        <f t="shared" si="2"/>
        <v>0</v>
      </c>
      <c r="F14" s="66">
        <f t="shared" si="2"/>
        <v>0</v>
      </c>
      <c r="G14" s="66">
        <f t="shared" si="2"/>
        <v>1</v>
      </c>
      <c r="H14" s="66">
        <f t="shared" si="2"/>
        <v>0</v>
      </c>
      <c r="I14" s="66">
        <f t="shared" si="2"/>
        <v>0</v>
      </c>
      <c r="J14" s="66">
        <f t="shared" si="2"/>
        <v>0</v>
      </c>
      <c r="K14" s="66">
        <f t="shared" si="2"/>
        <v>0</v>
      </c>
      <c r="L14" s="66">
        <f t="shared" si="2"/>
        <v>0</v>
      </c>
      <c r="M14" s="66">
        <f t="shared" si="2"/>
        <v>0</v>
      </c>
      <c r="N14" s="66">
        <f t="shared" si="2"/>
        <v>0</v>
      </c>
      <c r="O14" s="66">
        <f t="shared" si="2"/>
        <v>0</v>
      </c>
      <c r="P14" s="66">
        <f t="shared" si="2"/>
        <v>0</v>
      </c>
      <c r="Q14" s="66">
        <f t="shared" si="2"/>
        <v>0</v>
      </c>
      <c r="R14" s="66">
        <f t="shared" si="2"/>
        <v>0</v>
      </c>
      <c r="S14" s="66">
        <f t="shared" si="2"/>
        <v>0</v>
      </c>
      <c r="T14" s="66">
        <f t="shared" si="2"/>
        <v>0</v>
      </c>
      <c r="U14" s="66">
        <f t="shared" si="2"/>
        <v>0</v>
      </c>
      <c r="V14" s="66">
        <f t="shared" si="2"/>
        <v>0</v>
      </c>
      <c r="W14" s="66">
        <f t="shared" si="2"/>
        <v>0</v>
      </c>
      <c r="X14" s="66">
        <f t="shared" si="2"/>
        <v>0</v>
      </c>
      <c r="Y14" s="66">
        <f t="shared" si="2"/>
        <v>0</v>
      </c>
      <c r="Z14" s="66">
        <f t="shared" si="2"/>
        <v>0</v>
      </c>
      <c r="AA14" s="66">
        <f t="shared" si="2"/>
        <v>0</v>
      </c>
      <c r="AB14" s="66">
        <f t="shared" si="2"/>
        <v>0</v>
      </c>
      <c r="AC14" s="66">
        <f t="shared" si="2"/>
        <v>0</v>
      </c>
      <c r="AD14" s="66">
        <f t="shared" si="2"/>
        <v>0</v>
      </c>
      <c r="AE14" s="66">
        <f t="shared" si="2"/>
        <v>0</v>
      </c>
      <c r="AF14" s="68">
        <f t="shared" si="0"/>
        <v>1</v>
      </c>
      <c r="AH14" s="63" t="s">
        <v>382</v>
      </c>
      <c r="AI14" s="60">
        <f>SUM(AE5,AE10,AE15,AE20,AE25,AE30,AE35,AE41,AE46,AE52,AE57,AE62,AE67,AE72,AE77,AE82,AE87,AE92,AE97,AE102,AE108,AE113,AE118,AE123,AE129,AE134,AE139,AE145,AE150,AE155,AE160,AE165,AE170,AE175,AE180,AE185,AE190,AE195,AE200,AE206,AE211,AE216,AE221,AE226,AE231,AE236,AE241,AE246,AE251,AE256,AE261,AE267,AE272,AE278,AE283,AE288,AE293,AE298,AE303,AE308,AE313,AE318,AE323,AE328,AE333,AE338,AE343,AE349,AE360,AE365,AE370,AE375,AE380,AE385,AE390,AE396,AE401,AE406,AE411,AE417,AE422,AE427,AE432,AE437,AE442)</f>
        <v>112</v>
      </c>
      <c r="AJ14" s="60">
        <f>SUM(AE6,AE11,AE16,AE21,AE26,AE31,AE36,AE42,AE47,AE53,AE58,AE63,AE68,AE73,AE78,AE83,AE88,AE93,AE98,AE103,AE109,AE114,AE119,AE124,AE130,AE135,AE140,AE146,AE151,AE156,AE161,AE166,AE171,AE176,AE181,AE186,AE191,AE196,AE201,AE207,AE212,AE217,AE222,AE227,AE232,AE237,AE242,AE247,AE252,AE257,AE262,AE268,AE273,AE279,AE284,AE289,AE294,AE299,AE304,AE309,AE314,AE319,AE324,AE329,AE334,AE339,AE344,AE350,AE361,AE366,AE371,AE376,AE381,AE386,AE391,AE397,AE402,AE407,AE412,AE418,AE423,AE428,AE433,AE438,AE443)</f>
        <v>121</v>
      </c>
      <c r="AK14" s="60">
        <f>SUM(AE7,AE12,AE17,AE22,AE27,AE32,AE37,AE43,AE48,AE54,AE59,AE64,AE69,AE74,AE79,AE84,AE89,AE94,AE99,AE104,AE110,AE115,AE120,AE125,AE131,AE136,AE141,AE147,AE152,AE157,AE162,AE167,AE172,AE177,AE182,AE187,AE192,AE197,AE202,AE208,AE213,AE218,AE223,AE228,AE233,AE238,AE243,AE248,AE253,AE258,AE263,AE269,AE274,AE280,AE285,AE290,AE295,AE300,AE305,AE310,AE315,AE320,AE325,AE330,AE335,AE340,AE345,AE351,AE362,AE367,AE372,AE377,AE382,AE387,AE392,AE398,AE403,AE408,AE413,AE419,AE424,AE429,AE434,AE439,AE444)</f>
        <v>109</v>
      </c>
      <c r="AL14" s="60">
        <f>SUM(AE8,AE13,AE18,AE23,AE28,AE33,AE38,AE44,AE49,AE55,AE60,AE65,AE70,AE75,AE80,AE85,AE90,AE95,AE100,AE105,AE111,AE116,AE121,AE126,AE132,AE137,AE142,AE148,AE153,AE158,AE163,AE168,AE173,AE178,AE183,AE188,AE193,AE198,AE203,AE209,AE214,AE219,AE224,AE229,AE234,AE239,AE244,AE249,AE254,AE259,AE264,AE270,AE275,AE281,AE286,AE291,AE296,AE301,AE306,AE311,AE316,AE321,AE326,AE331,AE336,AE341,AE346,AE352,AE363,AE368,AE373,AE378,AE383,AE388,AE393,AE399,AE404,AE409,AE414,AE420,AE425,AE430,AE435,AE440,AE445)</f>
        <v>100</v>
      </c>
    </row>
    <row r="15" spans="1:38" hidden="1" x14ac:dyDescent="0.35">
      <c r="A15" s="59" t="s">
        <v>232</v>
      </c>
      <c r="B15" s="54" t="s">
        <v>233</v>
      </c>
      <c r="C15" s="60" t="s">
        <v>225</v>
      </c>
      <c r="D15" s="60"/>
      <c r="E15" s="60"/>
      <c r="F15" s="60"/>
      <c r="G15" s="61">
        <f>SUM(D15:F15)</f>
        <v>0</v>
      </c>
      <c r="H15" s="60"/>
      <c r="I15" s="60"/>
      <c r="J15" s="60"/>
      <c r="K15" s="61">
        <f>SUM(H15:J15)</f>
        <v>0</v>
      </c>
      <c r="L15" s="60"/>
      <c r="M15" s="60"/>
      <c r="N15" s="60"/>
      <c r="O15" s="61">
        <f>SUM(L15:N15)</f>
        <v>0</v>
      </c>
      <c r="P15" s="60"/>
      <c r="Q15" s="60"/>
      <c r="R15" s="60"/>
      <c r="S15" s="61">
        <f>SUM(P15:R15)</f>
        <v>0</v>
      </c>
      <c r="T15" s="60"/>
      <c r="U15" s="60"/>
      <c r="V15" s="60"/>
      <c r="W15" s="61">
        <f>SUM(T15:V15)</f>
        <v>0</v>
      </c>
      <c r="X15" s="60"/>
      <c r="Y15" s="60"/>
      <c r="Z15" s="60"/>
      <c r="AA15" s="61">
        <f>SUM(X15:Z15)</f>
        <v>0</v>
      </c>
      <c r="AB15" s="60"/>
      <c r="AC15" s="60"/>
      <c r="AD15" s="60"/>
      <c r="AE15" s="61">
        <f>SUM(AB15:AD15)</f>
        <v>0</v>
      </c>
      <c r="AF15" s="62">
        <f t="shared" si="0"/>
        <v>0</v>
      </c>
    </row>
    <row r="16" spans="1:38" hidden="1" x14ac:dyDescent="0.35">
      <c r="A16" s="113" t="s">
        <v>234</v>
      </c>
      <c r="C16" s="63" t="s">
        <v>227</v>
      </c>
      <c r="D16" s="63"/>
      <c r="E16" s="63"/>
      <c r="F16" s="63"/>
      <c r="G16" s="61">
        <f>SUM(D16:F16)</f>
        <v>0</v>
      </c>
      <c r="H16" s="63"/>
      <c r="I16" s="63"/>
      <c r="J16" s="63"/>
      <c r="K16" s="61">
        <f>SUM(H16:J16)</f>
        <v>0</v>
      </c>
      <c r="L16" s="63"/>
      <c r="M16" s="63"/>
      <c r="N16" s="63"/>
      <c r="O16" s="61">
        <f>SUM(L16:N16)</f>
        <v>0</v>
      </c>
      <c r="P16" s="63"/>
      <c r="Q16" s="63"/>
      <c r="R16" s="63"/>
      <c r="S16" s="61">
        <f>SUM(P16:R16)</f>
        <v>0</v>
      </c>
      <c r="T16" s="63"/>
      <c r="U16" s="63"/>
      <c r="V16" s="63"/>
      <c r="W16" s="61">
        <f>SUM(T16:V16)</f>
        <v>0</v>
      </c>
      <c r="X16" s="63"/>
      <c r="Y16" s="63"/>
      <c r="Z16" s="63"/>
      <c r="AA16" s="61">
        <f>SUM(X16:Z16)</f>
        <v>0</v>
      </c>
      <c r="AB16" s="63"/>
      <c r="AC16" s="63"/>
      <c r="AD16" s="63"/>
      <c r="AE16" s="61">
        <f>SUM(AB16:AD16)</f>
        <v>0</v>
      </c>
      <c r="AF16" s="64">
        <f t="shared" si="0"/>
        <v>0</v>
      </c>
    </row>
    <row r="17" spans="1:32" hidden="1" x14ac:dyDescent="0.35">
      <c r="A17" s="113"/>
      <c r="C17" s="60" t="s">
        <v>228</v>
      </c>
      <c r="D17" s="60"/>
      <c r="E17" s="60"/>
      <c r="F17" s="60"/>
      <c r="G17" s="61">
        <f>SUM(D17:F17)</f>
        <v>0</v>
      </c>
      <c r="H17" s="60"/>
      <c r="I17" s="60"/>
      <c r="J17" s="60"/>
      <c r="K17" s="61">
        <f>SUM(H17:J17)</f>
        <v>0</v>
      </c>
      <c r="L17" s="60"/>
      <c r="M17" s="60"/>
      <c r="N17" s="60"/>
      <c r="O17" s="61">
        <f>SUM(L17:N17)</f>
        <v>0</v>
      </c>
      <c r="P17" s="60"/>
      <c r="Q17" s="60"/>
      <c r="R17" s="60"/>
      <c r="S17" s="61">
        <f>SUM(P17:R17)</f>
        <v>0</v>
      </c>
      <c r="T17" s="60"/>
      <c r="U17" s="60"/>
      <c r="V17" s="60"/>
      <c r="W17" s="61">
        <f>SUM(T17:V17)</f>
        <v>0</v>
      </c>
      <c r="X17" s="60"/>
      <c r="Y17" s="60"/>
      <c r="Z17" s="60"/>
      <c r="AA17" s="61">
        <f>SUM(X17:Z17)</f>
        <v>0</v>
      </c>
      <c r="AB17" s="60"/>
      <c r="AC17" s="60"/>
      <c r="AD17" s="60"/>
      <c r="AE17" s="61">
        <f>SUM(AB17:AD17)</f>
        <v>0</v>
      </c>
      <c r="AF17" s="65">
        <f t="shared" si="0"/>
        <v>0</v>
      </c>
    </row>
    <row r="18" spans="1:32" hidden="1" x14ac:dyDescent="0.35">
      <c r="C18" s="69" t="s">
        <v>235</v>
      </c>
      <c r="D18" s="69"/>
      <c r="E18" s="69"/>
      <c r="F18" s="69"/>
      <c r="G18" s="56">
        <f>SUM(D18:F18)</f>
        <v>0</v>
      </c>
      <c r="H18" s="69"/>
      <c r="I18" s="69"/>
      <c r="J18" s="69"/>
      <c r="K18" s="56">
        <f>SUM(H18:J18)</f>
        <v>0</v>
      </c>
      <c r="L18" s="69"/>
      <c r="M18" s="69"/>
      <c r="N18" s="69"/>
      <c r="O18" s="56">
        <f>SUM(L18:N18)</f>
        <v>0</v>
      </c>
      <c r="P18" s="69"/>
      <c r="Q18" s="69"/>
      <c r="R18" s="69"/>
      <c r="S18" s="56">
        <f>SUM(P18:R18)</f>
        <v>0</v>
      </c>
      <c r="T18" s="69"/>
      <c r="U18" s="69"/>
      <c r="V18" s="69"/>
      <c r="W18" s="56">
        <f>SUM(T18:V18)</f>
        <v>0</v>
      </c>
      <c r="X18" s="69"/>
      <c r="Y18" s="69"/>
      <c r="Z18" s="69"/>
      <c r="AA18" s="56">
        <f>SUM(X18:Z18)</f>
        <v>0</v>
      </c>
      <c r="AB18" s="69"/>
      <c r="AC18" s="69"/>
      <c r="AD18" s="69"/>
      <c r="AE18" s="56">
        <f>SUM(AB18:AD18)</f>
        <v>0</v>
      </c>
      <c r="AF18" s="69">
        <f t="shared" si="0"/>
        <v>0</v>
      </c>
    </row>
    <row r="19" spans="1:32" x14ac:dyDescent="0.35">
      <c r="A19" s="66" t="s">
        <v>236</v>
      </c>
      <c r="B19" s="67" t="s">
        <v>233</v>
      </c>
      <c r="C19" s="66"/>
      <c r="D19" s="66">
        <f t="shared" ref="D19:AE19" si="3">SUM(D15:D18)</f>
        <v>0</v>
      </c>
      <c r="E19" s="66">
        <f t="shared" si="3"/>
        <v>0</v>
      </c>
      <c r="F19" s="66">
        <f t="shared" si="3"/>
        <v>0</v>
      </c>
      <c r="G19" s="61">
        <f t="shared" si="3"/>
        <v>0</v>
      </c>
      <c r="H19" s="66">
        <f t="shared" si="3"/>
        <v>0</v>
      </c>
      <c r="I19" s="66">
        <f t="shared" si="3"/>
        <v>0</v>
      </c>
      <c r="J19" s="66">
        <f t="shared" si="3"/>
        <v>0</v>
      </c>
      <c r="K19" s="61">
        <f t="shared" si="3"/>
        <v>0</v>
      </c>
      <c r="L19" s="66">
        <f t="shared" si="3"/>
        <v>0</v>
      </c>
      <c r="M19" s="66">
        <f t="shared" si="3"/>
        <v>0</v>
      </c>
      <c r="N19" s="66">
        <f t="shared" si="3"/>
        <v>0</v>
      </c>
      <c r="O19" s="61">
        <f t="shared" si="3"/>
        <v>0</v>
      </c>
      <c r="P19" s="66">
        <f t="shared" si="3"/>
        <v>0</v>
      </c>
      <c r="Q19" s="66">
        <f t="shared" si="3"/>
        <v>0</v>
      </c>
      <c r="R19" s="66">
        <f t="shared" si="3"/>
        <v>0</v>
      </c>
      <c r="S19" s="61">
        <f t="shared" si="3"/>
        <v>0</v>
      </c>
      <c r="T19" s="66">
        <f t="shared" si="3"/>
        <v>0</v>
      </c>
      <c r="U19" s="66">
        <f t="shared" si="3"/>
        <v>0</v>
      </c>
      <c r="V19" s="66">
        <f t="shared" si="3"/>
        <v>0</v>
      </c>
      <c r="W19" s="61">
        <f t="shared" si="3"/>
        <v>0</v>
      </c>
      <c r="X19" s="66">
        <f t="shared" si="3"/>
        <v>0</v>
      </c>
      <c r="Y19" s="66">
        <f t="shared" si="3"/>
        <v>0</v>
      </c>
      <c r="Z19" s="66">
        <f t="shared" si="3"/>
        <v>0</v>
      </c>
      <c r="AA19" s="61">
        <f t="shared" si="3"/>
        <v>0</v>
      </c>
      <c r="AB19" s="66">
        <f t="shared" si="3"/>
        <v>0</v>
      </c>
      <c r="AC19" s="66">
        <f t="shared" si="3"/>
        <v>0</v>
      </c>
      <c r="AD19" s="66">
        <f t="shared" si="3"/>
        <v>0</v>
      </c>
      <c r="AE19" s="61">
        <f t="shared" si="3"/>
        <v>0</v>
      </c>
      <c r="AF19" s="68">
        <f t="shared" si="0"/>
        <v>0</v>
      </c>
    </row>
    <row r="20" spans="1:32" hidden="1" x14ac:dyDescent="0.35">
      <c r="A20" s="59" t="s">
        <v>237</v>
      </c>
      <c r="B20" s="54">
        <v>13</v>
      </c>
      <c r="C20" s="60" t="s">
        <v>225</v>
      </c>
      <c r="D20" s="60">
        <v>4</v>
      </c>
      <c r="E20" s="60"/>
      <c r="F20" s="60"/>
      <c r="G20" s="61">
        <f>SUM(D20:F20)</f>
        <v>4</v>
      </c>
      <c r="H20" s="60"/>
      <c r="I20" s="60"/>
      <c r="J20" s="60"/>
      <c r="K20" s="61">
        <f>SUM(H20:J20)</f>
        <v>0</v>
      </c>
      <c r="L20" s="60"/>
      <c r="M20" s="60"/>
      <c r="N20" s="60"/>
      <c r="O20" s="61">
        <f>SUM(L20:N20)</f>
        <v>0</v>
      </c>
      <c r="P20" s="60"/>
      <c r="Q20" s="60"/>
      <c r="R20" s="60"/>
      <c r="S20" s="61">
        <f>SUM(P20:R20)</f>
        <v>0</v>
      </c>
      <c r="T20" s="60"/>
      <c r="U20" s="60"/>
      <c r="V20" s="60"/>
      <c r="W20" s="61">
        <f>SUM(T20:V20)</f>
        <v>0</v>
      </c>
      <c r="X20" s="60">
        <v>1</v>
      </c>
      <c r="Y20" s="60"/>
      <c r="Z20" s="60"/>
      <c r="AA20" s="61">
        <f>SUM(X20:Z20)</f>
        <v>1</v>
      </c>
      <c r="AB20" s="60">
        <v>2</v>
      </c>
      <c r="AC20" s="60"/>
      <c r="AD20" s="60"/>
      <c r="AE20" s="61">
        <f>SUM(AB20:AD20)</f>
        <v>2</v>
      </c>
      <c r="AF20" s="62">
        <f t="shared" si="0"/>
        <v>7</v>
      </c>
    </row>
    <row r="21" spans="1:32" hidden="1" x14ac:dyDescent="0.35">
      <c r="A21" s="114" t="s">
        <v>238</v>
      </c>
      <c r="C21" s="63" t="s">
        <v>239</v>
      </c>
      <c r="D21" s="63">
        <v>6</v>
      </c>
      <c r="E21" s="63"/>
      <c r="F21" s="63"/>
      <c r="G21" s="61">
        <f>SUM(D21:F21)</f>
        <v>6</v>
      </c>
      <c r="H21" s="63"/>
      <c r="I21" s="63"/>
      <c r="J21" s="63"/>
      <c r="K21" s="61">
        <f>SUM(H21:J21)</f>
        <v>0</v>
      </c>
      <c r="L21" s="63"/>
      <c r="M21" s="63"/>
      <c r="N21" s="63"/>
      <c r="O21" s="61">
        <f>SUM(L21:N21)</f>
        <v>0</v>
      </c>
      <c r="P21" s="63"/>
      <c r="Q21" s="63"/>
      <c r="R21" s="63"/>
      <c r="S21" s="61">
        <f>SUM(P21:R21)</f>
        <v>0</v>
      </c>
      <c r="T21" s="63"/>
      <c r="U21" s="63"/>
      <c r="V21" s="63"/>
      <c r="W21" s="61">
        <f>SUM(T21:V21)</f>
        <v>0</v>
      </c>
      <c r="X21" s="63"/>
      <c r="Y21" s="63"/>
      <c r="Z21" s="63"/>
      <c r="AA21" s="61">
        <f>SUM(X21:Z21)</f>
        <v>0</v>
      </c>
      <c r="AB21" s="63"/>
      <c r="AC21" s="63"/>
      <c r="AD21" s="63"/>
      <c r="AE21" s="61">
        <f>SUM(AB21:AD21)</f>
        <v>0</v>
      </c>
      <c r="AF21" s="64">
        <f t="shared" si="0"/>
        <v>6</v>
      </c>
    </row>
    <row r="22" spans="1:32" hidden="1" x14ac:dyDescent="0.35">
      <c r="A22" s="114"/>
      <c r="C22" s="60" t="s">
        <v>228</v>
      </c>
      <c r="D22" s="60">
        <v>7</v>
      </c>
      <c r="E22" s="60"/>
      <c r="F22" s="60"/>
      <c r="G22" s="61">
        <f>SUM(D22:F22)</f>
        <v>7</v>
      </c>
      <c r="H22" s="60">
        <v>2</v>
      </c>
      <c r="I22" s="60"/>
      <c r="J22" s="60"/>
      <c r="K22" s="61">
        <f>SUM(H22:J22)</f>
        <v>2</v>
      </c>
      <c r="L22" s="60"/>
      <c r="M22" s="60"/>
      <c r="N22" s="60"/>
      <c r="O22" s="61">
        <f>SUM(L22:N22)</f>
        <v>0</v>
      </c>
      <c r="P22" s="60"/>
      <c r="Q22" s="60"/>
      <c r="R22" s="60"/>
      <c r="S22" s="61">
        <f>SUM(P22:R22)</f>
        <v>0</v>
      </c>
      <c r="T22" s="60"/>
      <c r="U22" s="60"/>
      <c r="V22" s="60"/>
      <c r="W22" s="61">
        <f>SUM(T22:V22)</f>
        <v>0</v>
      </c>
      <c r="X22" s="60">
        <v>1</v>
      </c>
      <c r="Y22" s="60"/>
      <c r="Z22" s="60"/>
      <c r="AA22" s="61">
        <f>SUM(X22:Z22)</f>
        <v>1</v>
      </c>
      <c r="AB22" s="60"/>
      <c r="AC22" s="60"/>
      <c r="AD22" s="60"/>
      <c r="AE22" s="61">
        <f>SUM(AB22:AD22)</f>
        <v>0</v>
      </c>
      <c r="AF22" s="65">
        <f t="shared" si="0"/>
        <v>10</v>
      </c>
    </row>
    <row r="23" spans="1:32" hidden="1" x14ac:dyDescent="0.35">
      <c r="C23" s="63" t="s">
        <v>235</v>
      </c>
      <c r="D23" s="63">
        <v>8</v>
      </c>
      <c r="E23" s="63"/>
      <c r="F23" s="63"/>
      <c r="G23" s="61">
        <f>SUM(D23:F23)</f>
        <v>8</v>
      </c>
      <c r="H23" s="63"/>
      <c r="I23" s="63"/>
      <c r="J23" s="63"/>
      <c r="K23" s="61">
        <f>SUM(H23:J23)</f>
        <v>0</v>
      </c>
      <c r="L23" s="63"/>
      <c r="M23" s="63"/>
      <c r="N23" s="63"/>
      <c r="O23" s="61">
        <f>SUM(L23:N23)</f>
        <v>0</v>
      </c>
      <c r="P23" s="63"/>
      <c r="Q23" s="63"/>
      <c r="R23" s="63"/>
      <c r="S23" s="61">
        <f>SUM(P23:R23)</f>
        <v>0</v>
      </c>
      <c r="T23" s="63"/>
      <c r="U23" s="63"/>
      <c r="V23" s="63"/>
      <c r="W23" s="61">
        <f>SUM(T23:V23)</f>
        <v>0</v>
      </c>
      <c r="X23" s="63">
        <v>1</v>
      </c>
      <c r="Y23" s="63"/>
      <c r="Z23" s="63"/>
      <c r="AA23" s="61">
        <f>SUM(X23:Z23)</f>
        <v>1</v>
      </c>
      <c r="AB23" s="63">
        <v>2</v>
      </c>
      <c r="AC23" s="63"/>
      <c r="AD23" s="63"/>
      <c r="AE23" s="61">
        <f>SUM(AB23:AD23)</f>
        <v>2</v>
      </c>
      <c r="AF23" s="63">
        <f t="shared" si="0"/>
        <v>11</v>
      </c>
    </row>
    <row r="24" spans="1:32" x14ac:dyDescent="0.35">
      <c r="A24" s="66" t="s">
        <v>240</v>
      </c>
      <c r="B24" s="67">
        <v>13</v>
      </c>
      <c r="C24" s="66"/>
      <c r="D24" s="66">
        <f t="shared" ref="D24:AE24" si="4">SUM(D20:D23)</f>
        <v>25</v>
      </c>
      <c r="E24" s="66">
        <f t="shared" si="4"/>
        <v>0</v>
      </c>
      <c r="F24" s="66">
        <f t="shared" si="4"/>
        <v>0</v>
      </c>
      <c r="G24" s="61">
        <f t="shared" si="4"/>
        <v>25</v>
      </c>
      <c r="H24" s="66">
        <f t="shared" si="4"/>
        <v>2</v>
      </c>
      <c r="I24" s="66">
        <f t="shared" si="4"/>
        <v>0</v>
      </c>
      <c r="J24" s="66">
        <f t="shared" si="4"/>
        <v>0</v>
      </c>
      <c r="K24" s="61">
        <f t="shared" si="4"/>
        <v>2</v>
      </c>
      <c r="L24" s="66">
        <f t="shared" si="4"/>
        <v>0</v>
      </c>
      <c r="M24" s="66">
        <f t="shared" si="4"/>
        <v>0</v>
      </c>
      <c r="N24" s="66">
        <f t="shared" si="4"/>
        <v>0</v>
      </c>
      <c r="O24" s="61">
        <f t="shared" si="4"/>
        <v>0</v>
      </c>
      <c r="P24" s="66">
        <f t="shared" si="4"/>
        <v>0</v>
      </c>
      <c r="Q24" s="66">
        <f t="shared" si="4"/>
        <v>0</v>
      </c>
      <c r="R24" s="66">
        <f t="shared" si="4"/>
        <v>0</v>
      </c>
      <c r="S24" s="61">
        <f t="shared" si="4"/>
        <v>0</v>
      </c>
      <c r="T24" s="66">
        <f t="shared" si="4"/>
        <v>0</v>
      </c>
      <c r="U24" s="66">
        <f t="shared" si="4"/>
        <v>0</v>
      </c>
      <c r="V24" s="66">
        <f t="shared" si="4"/>
        <v>0</v>
      </c>
      <c r="W24" s="61">
        <f t="shared" si="4"/>
        <v>0</v>
      </c>
      <c r="X24" s="66">
        <f t="shared" si="4"/>
        <v>3</v>
      </c>
      <c r="Y24" s="66">
        <f t="shared" si="4"/>
        <v>0</v>
      </c>
      <c r="Z24" s="66">
        <f t="shared" si="4"/>
        <v>0</v>
      </c>
      <c r="AA24" s="61">
        <f t="shared" si="4"/>
        <v>3</v>
      </c>
      <c r="AB24" s="66">
        <f t="shared" si="4"/>
        <v>4</v>
      </c>
      <c r="AC24" s="66">
        <f t="shared" si="4"/>
        <v>0</v>
      </c>
      <c r="AD24" s="66">
        <f t="shared" si="4"/>
        <v>0</v>
      </c>
      <c r="AE24" s="61">
        <f t="shared" si="4"/>
        <v>4</v>
      </c>
      <c r="AF24" s="68">
        <f t="shared" si="0"/>
        <v>34</v>
      </c>
    </row>
    <row r="25" spans="1:32" hidden="1" x14ac:dyDescent="0.35">
      <c r="A25" s="59" t="s">
        <v>241</v>
      </c>
      <c r="B25" s="54">
        <v>28</v>
      </c>
      <c r="C25" s="60" t="s">
        <v>225</v>
      </c>
      <c r="D25" s="60">
        <v>13</v>
      </c>
      <c r="E25" s="60">
        <v>5</v>
      </c>
      <c r="F25" s="60"/>
      <c r="G25" s="61">
        <f>SUM(D25:F25)</f>
        <v>18</v>
      </c>
      <c r="H25" s="60">
        <v>1</v>
      </c>
      <c r="I25" s="60"/>
      <c r="J25" s="60"/>
      <c r="K25" s="61">
        <f>SUM(H25:J25)</f>
        <v>1</v>
      </c>
      <c r="L25" s="60">
        <v>14</v>
      </c>
      <c r="M25" s="60">
        <v>3</v>
      </c>
      <c r="N25" s="60"/>
      <c r="O25" s="61">
        <f>SUM(L25:N25)</f>
        <v>17</v>
      </c>
      <c r="P25" s="60"/>
      <c r="Q25" s="60"/>
      <c r="R25" s="60"/>
      <c r="S25" s="61">
        <f>SUM(P25:R25)</f>
        <v>0</v>
      </c>
      <c r="T25" s="60"/>
      <c r="U25" s="60"/>
      <c r="V25" s="60"/>
      <c r="W25" s="61">
        <f>SUM(T25:V25)</f>
        <v>0</v>
      </c>
      <c r="X25" s="60">
        <v>5</v>
      </c>
      <c r="Y25" s="60"/>
      <c r="Z25" s="60"/>
      <c r="AA25" s="61">
        <f>SUM(X25:Z25)</f>
        <v>5</v>
      </c>
      <c r="AB25" s="60">
        <v>4</v>
      </c>
      <c r="AC25" s="60"/>
      <c r="AD25" s="60"/>
      <c r="AE25" s="61">
        <f>SUM(AB25:AD25)</f>
        <v>4</v>
      </c>
      <c r="AF25" s="62">
        <f t="shared" si="0"/>
        <v>45</v>
      </c>
    </row>
    <row r="26" spans="1:32" hidden="1" x14ac:dyDescent="0.35">
      <c r="A26" s="114" t="s">
        <v>242</v>
      </c>
      <c r="C26" s="63" t="s">
        <v>227</v>
      </c>
      <c r="D26" s="63">
        <v>15</v>
      </c>
      <c r="E26" s="63">
        <v>1</v>
      </c>
      <c r="F26" s="63"/>
      <c r="G26" s="61">
        <f>SUM(D26:F26)</f>
        <v>16</v>
      </c>
      <c r="H26" s="63"/>
      <c r="I26" s="63"/>
      <c r="J26" s="63"/>
      <c r="K26" s="61">
        <f>SUM(H26:J26)</f>
        <v>0</v>
      </c>
      <c r="L26" s="63">
        <v>11</v>
      </c>
      <c r="M26" s="63"/>
      <c r="N26" s="63"/>
      <c r="O26" s="61">
        <f>SUM(L26:N26)</f>
        <v>11</v>
      </c>
      <c r="P26" s="63"/>
      <c r="Q26" s="63"/>
      <c r="R26" s="63"/>
      <c r="S26" s="61">
        <f>SUM(P26:R26)</f>
        <v>0</v>
      </c>
      <c r="T26" s="63"/>
      <c r="U26" s="63"/>
      <c r="V26" s="63"/>
      <c r="W26" s="61">
        <f>SUM(T26:V26)</f>
        <v>0</v>
      </c>
      <c r="X26" s="63">
        <v>2</v>
      </c>
      <c r="Y26" s="63"/>
      <c r="Z26" s="63"/>
      <c r="AA26" s="61">
        <f>SUM(X26:Z26)</f>
        <v>2</v>
      </c>
      <c r="AB26" s="63">
        <v>1</v>
      </c>
      <c r="AC26" s="63"/>
      <c r="AD26" s="63"/>
      <c r="AE26" s="61">
        <f>SUM(AB26:AD26)</f>
        <v>1</v>
      </c>
      <c r="AF26" s="64">
        <f t="shared" si="0"/>
        <v>30</v>
      </c>
    </row>
    <row r="27" spans="1:32" hidden="1" x14ac:dyDescent="0.35">
      <c r="A27" s="114"/>
      <c r="C27" s="60" t="s">
        <v>228</v>
      </c>
      <c r="D27" s="60">
        <v>8</v>
      </c>
      <c r="E27" s="60"/>
      <c r="F27" s="60"/>
      <c r="G27" s="61">
        <f>SUM(D27:F27)</f>
        <v>8</v>
      </c>
      <c r="H27" s="60">
        <v>1</v>
      </c>
      <c r="I27" s="60"/>
      <c r="J27" s="60"/>
      <c r="K27" s="61">
        <f>SUM(H27:J27)</f>
        <v>1</v>
      </c>
      <c r="L27" s="60">
        <v>16</v>
      </c>
      <c r="M27" s="60">
        <v>2</v>
      </c>
      <c r="N27" s="60"/>
      <c r="O27" s="61">
        <f>SUM(L27:N27)</f>
        <v>18</v>
      </c>
      <c r="P27" s="60"/>
      <c r="Q27" s="60"/>
      <c r="R27" s="60"/>
      <c r="S27" s="61">
        <f>SUM(P27:R27)</f>
        <v>0</v>
      </c>
      <c r="T27" s="60"/>
      <c r="U27" s="60"/>
      <c r="V27" s="60"/>
      <c r="W27" s="61">
        <f>SUM(T27:V27)</f>
        <v>0</v>
      </c>
      <c r="X27" s="60">
        <v>6</v>
      </c>
      <c r="Y27" s="60">
        <v>1</v>
      </c>
      <c r="Z27" s="60"/>
      <c r="AA27" s="61">
        <f>SUM(X27:Z27)</f>
        <v>7</v>
      </c>
      <c r="AB27" s="60">
        <v>1</v>
      </c>
      <c r="AC27" s="60"/>
      <c r="AD27" s="60"/>
      <c r="AE27" s="61">
        <f>SUM(AB27:AD27)</f>
        <v>1</v>
      </c>
      <c r="AF27" s="65">
        <f t="shared" si="0"/>
        <v>35</v>
      </c>
    </row>
    <row r="28" spans="1:32" hidden="1" x14ac:dyDescent="0.35">
      <c r="C28" s="63" t="s">
        <v>235</v>
      </c>
      <c r="D28" s="63">
        <v>20</v>
      </c>
      <c r="E28" s="63">
        <v>2</v>
      </c>
      <c r="F28" s="63"/>
      <c r="G28" s="61">
        <f>SUM(D28:F28)</f>
        <v>22</v>
      </c>
      <c r="H28" s="63"/>
      <c r="I28" s="63"/>
      <c r="J28" s="63"/>
      <c r="K28" s="61">
        <f>SUM(H28:J28)</f>
        <v>0</v>
      </c>
      <c r="L28" s="63">
        <v>14</v>
      </c>
      <c r="M28" s="63">
        <v>1</v>
      </c>
      <c r="N28" s="63">
        <v>1</v>
      </c>
      <c r="O28" s="61">
        <f>SUM(L28:N28)</f>
        <v>16</v>
      </c>
      <c r="P28" s="63">
        <v>1</v>
      </c>
      <c r="Q28" s="63"/>
      <c r="R28" s="63"/>
      <c r="S28" s="61">
        <f>SUM(P28:R28)</f>
        <v>1</v>
      </c>
      <c r="T28" s="63"/>
      <c r="U28" s="63"/>
      <c r="V28" s="63"/>
      <c r="W28" s="61">
        <f>SUM(T28:V28)</f>
        <v>0</v>
      </c>
      <c r="X28" s="63">
        <v>3</v>
      </c>
      <c r="Y28" s="63"/>
      <c r="Z28" s="63"/>
      <c r="AA28" s="61">
        <f>SUM(X28:Z28)</f>
        <v>3</v>
      </c>
      <c r="AB28" s="63">
        <v>5</v>
      </c>
      <c r="AC28" s="63"/>
      <c r="AD28" s="63"/>
      <c r="AE28" s="61">
        <f>SUM(AB28:AD28)</f>
        <v>5</v>
      </c>
      <c r="AF28" s="63">
        <f t="shared" si="0"/>
        <v>47</v>
      </c>
    </row>
    <row r="29" spans="1:32" x14ac:dyDescent="0.35">
      <c r="A29" s="66" t="s">
        <v>241</v>
      </c>
      <c r="B29" s="67">
        <v>28</v>
      </c>
      <c r="C29" s="66"/>
      <c r="D29" s="66">
        <f t="shared" ref="D29:AE29" si="5">SUM(D25:D28)</f>
        <v>56</v>
      </c>
      <c r="E29" s="66">
        <f t="shared" si="5"/>
        <v>8</v>
      </c>
      <c r="F29" s="66">
        <f t="shared" si="5"/>
        <v>0</v>
      </c>
      <c r="G29" s="61">
        <f t="shared" si="5"/>
        <v>64</v>
      </c>
      <c r="H29" s="66">
        <f t="shared" si="5"/>
        <v>2</v>
      </c>
      <c r="I29" s="66">
        <f t="shared" si="5"/>
        <v>0</v>
      </c>
      <c r="J29" s="66">
        <f t="shared" si="5"/>
        <v>0</v>
      </c>
      <c r="K29" s="61">
        <f t="shared" si="5"/>
        <v>2</v>
      </c>
      <c r="L29" s="66">
        <f t="shared" si="5"/>
        <v>55</v>
      </c>
      <c r="M29" s="66">
        <f t="shared" si="5"/>
        <v>6</v>
      </c>
      <c r="N29" s="66">
        <f t="shared" si="5"/>
        <v>1</v>
      </c>
      <c r="O29" s="61">
        <f t="shared" si="5"/>
        <v>62</v>
      </c>
      <c r="P29" s="66">
        <f t="shared" si="5"/>
        <v>1</v>
      </c>
      <c r="Q29" s="66">
        <f t="shared" si="5"/>
        <v>0</v>
      </c>
      <c r="R29" s="66">
        <f t="shared" si="5"/>
        <v>0</v>
      </c>
      <c r="S29" s="61">
        <f t="shared" si="5"/>
        <v>1</v>
      </c>
      <c r="T29" s="66">
        <f t="shared" si="5"/>
        <v>0</v>
      </c>
      <c r="U29" s="66">
        <f t="shared" si="5"/>
        <v>0</v>
      </c>
      <c r="V29" s="66">
        <f t="shared" si="5"/>
        <v>0</v>
      </c>
      <c r="W29" s="61">
        <f t="shared" si="5"/>
        <v>0</v>
      </c>
      <c r="X29" s="66">
        <f t="shared" si="5"/>
        <v>16</v>
      </c>
      <c r="Y29" s="66">
        <f t="shared" si="5"/>
        <v>1</v>
      </c>
      <c r="Z29" s="66">
        <f t="shared" si="5"/>
        <v>0</v>
      </c>
      <c r="AA29" s="61">
        <f t="shared" si="5"/>
        <v>17</v>
      </c>
      <c r="AB29" s="66">
        <f t="shared" si="5"/>
        <v>11</v>
      </c>
      <c r="AC29" s="66">
        <f t="shared" si="5"/>
        <v>0</v>
      </c>
      <c r="AD29" s="66">
        <f t="shared" si="5"/>
        <v>0</v>
      </c>
      <c r="AE29" s="61">
        <f t="shared" si="5"/>
        <v>11</v>
      </c>
      <c r="AF29" s="68">
        <f t="shared" si="0"/>
        <v>157</v>
      </c>
    </row>
    <row r="30" spans="1:32" hidden="1" x14ac:dyDescent="0.35">
      <c r="A30" s="59" t="s">
        <v>243</v>
      </c>
      <c r="B30" s="54">
        <v>25</v>
      </c>
      <c r="C30" s="60" t="s">
        <v>225</v>
      </c>
      <c r="D30" s="60"/>
      <c r="E30" s="60"/>
      <c r="F30" s="60"/>
      <c r="G30" s="61">
        <f>SUM(D30:F30)</f>
        <v>0</v>
      </c>
      <c r="H30" s="60"/>
      <c r="I30" s="60"/>
      <c r="J30" s="60"/>
      <c r="K30" s="61">
        <f>SUM(H30:J30)</f>
        <v>0</v>
      </c>
      <c r="L30" s="60"/>
      <c r="M30" s="60"/>
      <c r="N30" s="60"/>
      <c r="O30" s="61">
        <f>SUM(L30:N30)</f>
        <v>0</v>
      </c>
      <c r="P30" s="60"/>
      <c r="Q30" s="60"/>
      <c r="R30" s="60"/>
      <c r="S30" s="61">
        <f>SUM(P30:R30)</f>
        <v>0</v>
      </c>
      <c r="T30" s="60"/>
      <c r="U30" s="60"/>
      <c r="V30" s="60"/>
      <c r="W30" s="61">
        <f>SUM(T30:V30)</f>
        <v>0</v>
      </c>
      <c r="X30" s="60"/>
      <c r="Y30" s="60"/>
      <c r="Z30" s="60"/>
      <c r="AA30" s="61">
        <f>SUM(X30:Z30)</f>
        <v>0</v>
      </c>
      <c r="AB30" s="60">
        <v>4</v>
      </c>
      <c r="AC30" s="60"/>
      <c r="AD30" s="60"/>
      <c r="AE30" s="61">
        <f>SUM(AB30:AD30)</f>
        <v>4</v>
      </c>
      <c r="AF30" s="62">
        <f t="shared" si="0"/>
        <v>4</v>
      </c>
    </row>
    <row r="31" spans="1:32" hidden="1" x14ac:dyDescent="0.35">
      <c r="A31" s="115" t="s">
        <v>244</v>
      </c>
      <c r="C31" s="63" t="s">
        <v>227</v>
      </c>
      <c r="D31" s="63"/>
      <c r="E31" s="63"/>
      <c r="F31" s="63"/>
      <c r="G31" s="61">
        <f>SUM(D31:F31)</f>
        <v>0</v>
      </c>
      <c r="H31" s="63"/>
      <c r="I31" s="63"/>
      <c r="J31" s="63"/>
      <c r="K31" s="61">
        <f>SUM(H31:J31)</f>
        <v>0</v>
      </c>
      <c r="L31" s="63"/>
      <c r="M31" s="63"/>
      <c r="N31" s="63"/>
      <c r="O31" s="61">
        <f>SUM(L31:N31)</f>
        <v>0</v>
      </c>
      <c r="P31" s="63"/>
      <c r="Q31" s="63"/>
      <c r="R31" s="63"/>
      <c r="S31" s="61">
        <f>SUM(P31:R31)</f>
        <v>0</v>
      </c>
      <c r="T31" s="63"/>
      <c r="U31" s="63"/>
      <c r="V31" s="63"/>
      <c r="W31" s="61">
        <f>SUM(T31:V31)</f>
        <v>0</v>
      </c>
      <c r="X31" s="63"/>
      <c r="Y31" s="63"/>
      <c r="Z31" s="63"/>
      <c r="AA31" s="61">
        <f>SUM(X31:Z31)</f>
        <v>0</v>
      </c>
      <c r="AB31" s="63">
        <v>2</v>
      </c>
      <c r="AC31" s="63"/>
      <c r="AD31" s="63"/>
      <c r="AE31" s="61">
        <f>SUM(AB31:AD31)</f>
        <v>2</v>
      </c>
      <c r="AF31" s="64">
        <f t="shared" si="0"/>
        <v>2</v>
      </c>
    </row>
    <row r="32" spans="1:32" hidden="1" x14ac:dyDescent="0.35">
      <c r="A32" s="115"/>
      <c r="C32" s="60" t="s">
        <v>228</v>
      </c>
      <c r="D32" s="60"/>
      <c r="E32" s="60"/>
      <c r="F32" s="60"/>
      <c r="G32" s="61">
        <f>SUM(D32:F32)</f>
        <v>0</v>
      </c>
      <c r="H32" s="60"/>
      <c r="I32" s="60"/>
      <c r="J32" s="60"/>
      <c r="K32" s="61">
        <f>SUM(H32:J32)</f>
        <v>0</v>
      </c>
      <c r="L32" s="60"/>
      <c r="M32" s="60"/>
      <c r="N32" s="60"/>
      <c r="O32" s="61">
        <f>SUM(L32:N32)</f>
        <v>0</v>
      </c>
      <c r="P32" s="60"/>
      <c r="Q32" s="60"/>
      <c r="R32" s="60"/>
      <c r="S32" s="61">
        <f>SUM(P32:R32)</f>
        <v>0</v>
      </c>
      <c r="T32" s="60"/>
      <c r="U32" s="60"/>
      <c r="V32" s="60"/>
      <c r="W32" s="61">
        <f>SUM(T32:V32)</f>
        <v>0</v>
      </c>
      <c r="X32" s="60"/>
      <c r="Y32" s="60"/>
      <c r="Z32" s="60"/>
      <c r="AA32" s="61">
        <f>SUM(X32:Z32)</f>
        <v>0</v>
      </c>
      <c r="AB32" s="60">
        <v>4</v>
      </c>
      <c r="AC32" s="60"/>
      <c r="AD32" s="60"/>
      <c r="AE32" s="61">
        <f>SUM(AB32:AD32)</f>
        <v>4</v>
      </c>
      <c r="AF32" s="65">
        <f t="shared" si="0"/>
        <v>4</v>
      </c>
    </row>
    <row r="33" spans="1:32" hidden="1" x14ac:dyDescent="0.35">
      <c r="C33" s="63" t="s">
        <v>235</v>
      </c>
      <c r="D33" s="63"/>
      <c r="E33" s="63"/>
      <c r="F33" s="63"/>
      <c r="G33" s="61">
        <f>SUM(D33:F33)</f>
        <v>0</v>
      </c>
      <c r="H33" s="63"/>
      <c r="I33" s="63"/>
      <c r="J33" s="63"/>
      <c r="K33" s="61">
        <f>SUM(H33:J33)</f>
        <v>0</v>
      </c>
      <c r="L33" s="63"/>
      <c r="M33" s="63"/>
      <c r="N33" s="63"/>
      <c r="O33" s="61">
        <f>SUM(L33:N33)</f>
        <v>0</v>
      </c>
      <c r="P33" s="63"/>
      <c r="Q33" s="63"/>
      <c r="R33" s="63"/>
      <c r="S33" s="61">
        <f>SUM(P33:R33)</f>
        <v>0</v>
      </c>
      <c r="T33" s="63"/>
      <c r="U33" s="63"/>
      <c r="V33" s="63"/>
      <c r="W33" s="61">
        <f>SUM(T33:V33)</f>
        <v>0</v>
      </c>
      <c r="X33" s="63"/>
      <c r="Y33" s="63"/>
      <c r="Z33" s="63"/>
      <c r="AA33" s="61">
        <f>SUM(X33:Z33)</f>
        <v>0</v>
      </c>
      <c r="AB33" s="63">
        <v>3</v>
      </c>
      <c r="AC33" s="63"/>
      <c r="AD33" s="63"/>
      <c r="AE33" s="61">
        <f>SUM(AB33:AD33)</f>
        <v>3</v>
      </c>
      <c r="AF33" s="63">
        <f t="shared" si="0"/>
        <v>3</v>
      </c>
    </row>
    <row r="34" spans="1:32" hidden="1" x14ac:dyDescent="0.35">
      <c r="A34" s="66" t="s">
        <v>244</v>
      </c>
      <c r="B34" s="70"/>
      <c r="C34" s="66"/>
      <c r="D34" s="66">
        <f t="shared" ref="D34:AE34" si="6">SUM(D30:D33)</f>
        <v>0</v>
      </c>
      <c r="E34" s="66">
        <f t="shared" si="6"/>
        <v>0</v>
      </c>
      <c r="F34" s="66">
        <f t="shared" si="6"/>
        <v>0</v>
      </c>
      <c r="G34" s="61">
        <f t="shared" si="6"/>
        <v>0</v>
      </c>
      <c r="H34" s="66">
        <f t="shared" si="6"/>
        <v>0</v>
      </c>
      <c r="I34" s="66">
        <f t="shared" si="6"/>
        <v>0</v>
      </c>
      <c r="J34" s="66">
        <f t="shared" si="6"/>
        <v>0</v>
      </c>
      <c r="K34" s="61">
        <f t="shared" si="6"/>
        <v>0</v>
      </c>
      <c r="L34" s="66">
        <f t="shared" si="6"/>
        <v>0</v>
      </c>
      <c r="M34" s="66">
        <f t="shared" si="6"/>
        <v>0</v>
      </c>
      <c r="N34" s="66">
        <f t="shared" si="6"/>
        <v>0</v>
      </c>
      <c r="O34" s="61">
        <f t="shared" si="6"/>
        <v>0</v>
      </c>
      <c r="P34" s="66">
        <f t="shared" si="6"/>
        <v>0</v>
      </c>
      <c r="Q34" s="66">
        <f t="shared" si="6"/>
        <v>0</v>
      </c>
      <c r="R34" s="66">
        <f t="shared" si="6"/>
        <v>0</v>
      </c>
      <c r="S34" s="61">
        <f t="shared" si="6"/>
        <v>0</v>
      </c>
      <c r="T34" s="66">
        <f t="shared" si="6"/>
        <v>0</v>
      </c>
      <c r="U34" s="66">
        <f t="shared" si="6"/>
        <v>0</v>
      </c>
      <c r="V34" s="66">
        <f t="shared" si="6"/>
        <v>0</v>
      </c>
      <c r="W34" s="61">
        <f t="shared" si="6"/>
        <v>0</v>
      </c>
      <c r="X34" s="66">
        <f t="shared" si="6"/>
        <v>0</v>
      </c>
      <c r="Y34" s="66">
        <f t="shared" si="6"/>
        <v>0</v>
      </c>
      <c r="Z34" s="66">
        <f t="shared" si="6"/>
        <v>0</v>
      </c>
      <c r="AA34" s="61">
        <f t="shared" si="6"/>
        <v>0</v>
      </c>
      <c r="AB34" s="66">
        <f t="shared" si="6"/>
        <v>13</v>
      </c>
      <c r="AC34" s="66">
        <f t="shared" si="6"/>
        <v>0</v>
      </c>
      <c r="AD34" s="66">
        <f t="shared" si="6"/>
        <v>0</v>
      </c>
      <c r="AE34" s="61">
        <f t="shared" si="6"/>
        <v>13</v>
      </c>
      <c r="AF34" s="68">
        <f t="shared" si="0"/>
        <v>13</v>
      </c>
    </row>
    <row r="35" spans="1:32" ht="15" hidden="1" customHeight="1" x14ac:dyDescent="0.35">
      <c r="A35" s="71" t="s">
        <v>245</v>
      </c>
      <c r="C35" s="60" t="s">
        <v>225</v>
      </c>
      <c r="D35" s="60"/>
      <c r="E35" s="60"/>
      <c r="F35" s="60"/>
      <c r="G35" s="61">
        <f>SUM(D35:F35)</f>
        <v>0</v>
      </c>
      <c r="H35" s="60"/>
      <c r="I35" s="60"/>
      <c r="J35" s="60"/>
      <c r="K35" s="61">
        <f>SUM(H35:J35)</f>
        <v>0</v>
      </c>
      <c r="L35" s="60"/>
      <c r="M35" s="60"/>
      <c r="N35" s="60"/>
      <c r="O35" s="61">
        <f>SUM(L35:N35)</f>
        <v>0</v>
      </c>
      <c r="P35" s="60"/>
      <c r="Q35" s="60"/>
      <c r="R35" s="60"/>
      <c r="S35" s="61">
        <f>SUM(P35:R35)</f>
        <v>0</v>
      </c>
      <c r="T35" s="60"/>
      <c r="U35" s="60"/>
      <c r="V35" s="60"/>
      <c r="W35" s="61">
        <f>SUM(T35:V35)</f>
        <v>0</v>
      </c>
      <c r="X35" s="60"/>
      <c r="Y35" s="60"/>
      <c r="Z35" s="60"/>
      <c r="AA35" s="61">
        <f>SUM(X35:Z35)</f>
        <v>0</v>
      </c>
      <c r="AB35" s="60"/>
      <c r="AC35" s="60"/>
      <c r="AD35" s="60"/>
      <c r="AE35" s="61">
        <f>SUM(AB35:AD35)</f>
        <v>0</v>
      </c>
      <c r="AF35" s="62">
        <f t="shared" si="0"/>
        <v>0</v>
      </c>
    </row>
    <row r="36" spans="1:32" hidden="1" x14ac:dyDescent="0.35">
      <c r="A36" s="72"/>
      <c r="C36" s="63" t="s">
        <v>227</v>
      </c>
      <c r="D36" s="63"/>
      <c r="E36" s="63"/>
      <c r="F36" s="63"/>
      <c r="G36" s="61">
        <f>SUM(D36:F36)</f>
        <v>0</v>
      </c>
      <c r="H36" s="63"/>
      <c r="I36" s="63"/>
      <c r="J36" s="63"/>
      <c r="K36" s="61">
        <f>SUM(H36:J36)</f>
        <v>0</v>
      </c>
      <c r="L36" s="63"/>
      <c r="M36" s="63"/>
      <c r="N36" s="63"/>
      <c r="O36" s="61">
        <f>SUM(L36:N36)</f>
        <v>0</v>
      </c>
      <c r="P36" s="63"/>
      <c r="Q36" s="63"/>
      <c r="R36" s="63"/>
      <c r="S36" s="61">
        <f>SUM(P36:R36)</f>
        <v>0</v>
      </c>
      <c r="T36" s="63"/>
      <c r="U36" s="63"/>
      <c r="V36" s="63"/>
      <c r="W36" s="61">
        <f>SUM(T36:V36)</f>
        <v>0</v>
      </c>
      <c r="X36" s="63"/>
      <c r="Y36" s="63"/>
      <c r="Z36" s="63"/>
      <c r="AA36" s="61">
        <f>SUM(X36:Z36)</f>
        <v>0</v>
      </c>
      <c r="AB36" s="63"/>
      <c r="AC36" s="63"/>
      <c r="AD36" s="63"/>
      <c r="AE36" s="61">
        <f>SUM(AB36:AD36)</f>
        <v>0</v>
      </c>
      <c r="AF36" s="64">
        <f t="shared" si="0"/>
        <v>0</v>
      </c>
    </row>
    <row r="37" spans="1:32" hidden="1" x14ac:dyDescent="0.35">
      <c r="C37" s="60" t="s">
        <v>228</v>
      </c>
      <c r="D37" s="60"/>
      <c r="E37" s="60"/>
      <c r="F37" s="60"/>
      <c r="G37" s="61">
        <f>SUM(D37:F37)</f>
        <v>0</v>
      </c>
      <c r="H37" s="60"/>
      <c r="I37" s="60"/>
      <c r="J37" s="60"/>
      <c r="K37" s="61">
        <f>SUM(H37:J37)</f>
        <v>0</v>
      </c>
      <c r="L37" s="60"/>
      <c r="M37" s="60"/>
      <c r="N37" s="60"/>
      <c r="O37" s="61">
        <f>SUM(L37:N37)</f>
        <v>0</v>
      </c>
      <c r="P37" s="60"/>
      <c r="Q37" s="60"/>
      <c r="R37" s="60"/>
      <c r="S37" s="61">
        <f>SUM(P37:R37)</f>
        <v>0</v>
      </c>
      <c r="T37" s="60"/>
      <c r="U37" s="60"/>
      <c r="V37" s="60"/>
      <c r="W37" s="61">
        <f>SUM(T37:V37)</f>
        <v>0</v>
      </c>
      <c r="X37" s="60"/>
      <c r="Y37" s="60"/>
      <c r="Z37" s="60"/>
      <c r="AA37" s="61">
        <f>SUM(X37:Z37)</f>
        <v>0</v>
      </c>
      <c r="AB37" s="60"/>
      <c r="AC37" s="60"/>
      <c r="AD37" s="60"/>
      <c r="AE37" s="61">
        <f>SUM(AB37:AD37)</f>
        <v>0</v>
      </c>
      <c r="AF37" s="65">
        <f t="shared" si="0"/>
        <v>0</v>
      </c>
    </row>
    <row r="38" spans="1:32" hidden="1" x14ac:dyDescent="0.35">
      <c r="C38" s="63" t="s">
        <v>235</v>
      </c>
      <c r="D38" s="63"/>
      <c r="E38" s="63"/>
      <c r="F38" s="63"/>
      <c r="G38" s="61">
        <f>SUM(D38:F38)</f>
        <v>0</v>
      </c>
      <c r="H38" s="63"/>
      <c r="I38" s="63"/>
      <c r="J38" s="63"/>
      <c r="K38" s="61">
        <f>SUM(H38:J38)</f>
        <v>0</v>
      </c>
      <c r="L38" s="63"/>
      <c r="M38" s="63"/>
      <c r="N38" s="63"/>
      <c r="O38" s="61">
        <f>SUM(L38:N38)</f>
        <v>0</v>
      </c>
      <c r="P38" s="63"/>
      <c r="Q38" s="63"/>
      <c r="R38" s="63"/>
      <c r="S38" s="61">
        <f>SUM(P38:R38)</f>
        <v>0</v>
      </c>
      <c r="T38" s="63"/>
      <c r="U38" s="63"/>
      <c r="V38" s="63"/>
      <c r="W38" s="61">
        <f>SUM(T38:V38)</f>
        <v>0</v>
      </c>
      <c r="X38" s="63"/>
      <c r="Y38" s="63"/>
      <c r="Z38" s="63"/>
      <c r="AA38" s="61">
        <f>SUM(X38:Z38)</f>
        <v>0</v>
      </c>
      <c r="AB38" s="63"/>
      <c r="AC38" s="63"/>
      <c r="AD38" s="63"/>
      <c r="AE38" s="61">
        <f>SUM(AB38:AD38)</f>
        <v>0</v>
      </c>
      <c r="AF38" s="63">
        <f t="shared" si="0"/>
        <v>0</v>
      </c>
    </row>
    <row r="39" spans="1:32" hidden="1" x14ac:dyDescent="0.35">
      <c r="A39" s="66" t="s">
        <v>246</v>
      </c>
      <c r="B39" s="67"/>
      <c r="C39" s="73"/>
      <c r="D39" s="73">
        <f t="shared" ref="D39:AE39" si="7">SUM(D35:D38)</f>
        <v>0</v>
      </c>
      <c r="E39" s="73">
        <f t="shared" si="7"/>
        <v>0</v>
      </c>
      <c r="F39" s="73">
        <f t="shared" si="7"/>
        <v>0</v>
      </c>
      <c r="G39" s="56">
        <f t="shared" si="7"/>
        <v>0</v>
      </c>
      <c r="H39" s="73">
        <f t="shared" si="7"/>
        <v>0</v>
      </c>
      <c r="I39" s="73">
        <f t="shared" si="7"/>
        <v>0</v>
      </c>
      <c r="J39" s="73">
        <f t="shared" si="7"/>
        <v>0</v>
      </c>
      <c r="K39" s="56">
        <f t="shared" si="7"/>
        <v>0</v>
      </c>
      <c r="L39" s="73">
        <f t="shared" si="7"/>
        <v>0</v>
      </c>
      <c r="M39" s="73">
        <f t="shared" si="7"/>
        <v>0</v>
      </c>
      <c r="N39" s="73">
        <f t="shared" si="7"/>
        <v>0</v>
      </c>
      <c r="O39" s="56">
        <f t="shared" si="7"/>
        <v>0</v>
      </c>
      <c r="P39" s="73">
        <f t="shared" si="7"/>
        <v>0</v>
      </c>
      <c r="Q39" s="73">
        <f t="shared" si="7"/>
        <v>0</v>
      </c>
      <c r="R39" s="73">
        <f t="shared" si="7"/>
        <v>0</v>
      </c>
      <c r="S39" s="56">
        <f t="shared" si="7"/>
        <v>0</v>
      </c>
      <c r="T39" s="73">
        <f t="shared" si="7"/>
        <v>0</v>
      </c>
      <c r="U39" s="73">
        <f t="shared" si="7"/>
        <v>0</v>
      </c>
      <c r="V39" s="73">
        <f t="shared" si="7"/>
        <v>0</v>
      </c>
      <c r="W39" s="56">
        <f t="shared" si="7"/>
        <v>0</v>
      </c>
      <c r="X39" s="73">
        <f t="shared" si="7"/>
        <v>0</v>
      </c>
      <c r="Y39" s="73">
        <f t="shared" si="7"/>
        <v>0</v>
      </c>
      <c r="Z39" s="73">
        <f t="shared" si="7"/>
        <v>0</v>
      </c>
      <c r="AA39" s="56">
        <f t="shared" si="7"/>
        <v>0</v>
      </c>
      <c r="AB39" s="73">
        <f t="shared" si="7"/>
        <v>0</v>
      </c>
      <c r="AC39" s="73">
        <f t="shared" si="7"/>
        <v>0</v>
      </c>
      <c r="AD39" s="73">
        <f t="shared" si="7"/>
        <v>0</v>
      </c>
      <c r="AE39" s="56">
        <f t="shared" si="7"/>
        <v>0</v>
      </c>
      <c r="AF39" s="74">
        <f t="shared" si="0"/>
        <v>0</v>
      </c>
    </row>
    <row r="40" spans="1:32" x14ac:dyDescent="0.35">
      <c r="A40" s="66" t="s">
        <v>243</v>
      </c>
      <c r="B40" s="67">
        <v>25</v>
      </c>
      <c r="C40" s="66"/>
      <c r="D40" s="66">
        <f t="shared" ref="D40:AE40" si="8">SUM(D39,D34)</f>
        <v>0</v>
      </c>
      <c r="E40" s="66">
        <f t="shared" si="8"/>
        <v>0</v>
      </c>
      <c r="F40" s="66">
        <f t="shared" si="8"/>
        <v>0</v>
      </c>
      <c r="G40" s="61">
        <f t="shared" si="8"/>
        <v>0</v>
      </c>
      <c r="H40" s="66">
        <f t="shared" si="8"/>
        <v>0</v>
      </c>
      <c r="I40" s="66">
        <f t="shared" si="8"/>
        <v>0</v>
      </c>
      <c r="J40" s="66">
        <f t="shared" si="8"/>
        <v>0</v>
      </c>
      <c r="K40" s="61">
        <f t="shared" si="8"/>
        <v>0</v>
      </c>
      <c r="L40" s="66">
        <f t="shared" si="8"/>
        <v>0</v>
      </c>
      <c r="M40" s="66">
        <f t="shared" si="8"/>
        <v>0</v>
      </c>
      <c r="N40" s="66">
        <f t="shared" si="8"/>
        <v>0</v>
      </c>
      <c r="O40" s="61">
        <f t="shared" si="8"/>
        <v>0</v>
      </c>
      <c r="P40" s="66">
        <f t="shared" si="8"/>
        <v>0</v>
      </c>
      <c r="Q40" s="66">
        <f t="shared" si="8"/>
        <v>0</v>
      </c>
      <c r="R40" s="66">
        <f t="shared" si="8"/>
        <v>0</v>
      </c>
      <c r="S40" s="61">
        <f t="shared" si="8"/>
        <v>0</v>
      </c>
      <c r="T40" s="66">
        <f t="shared" si="8"/>
        <v>0</v>
      </c>
      <c r="U40" s="66">
        <f t="shared" si="8"/>
        <v>0</v>
      </c>
      <c r="V40" s="66">
        <f t="shared" si="8"/>
        <v>0</v>
      </c>
      <c r="W40" s="61">
        <f t="shared" si="8"/>
        <v>0</v>
      </c>
      <c r="X40" s="66">
        <f t="shared" si="8"/>
        <v>0</v>
      </c>
      <c r="Y40" s="66">
        <f t="shared" si="8"/>
        <v>0</v>
      </c>
      <c r="Z40" s="66">
        <f t="shared" si="8"/>
        <v>0</v>
      </c>
      <c r="AA40" s="61">
        <f t="shared" si="8"/>
        <v>0</v>
      </c>
      <c r="AB40" s="66">
        <f t="shared" si="8"/>
        <v>13</v>
      </c>
      <c r="AC40" s="66">
        <f t="shared" si="8"/>
        <v>0</v>
      </c>
      <c r="AD40" s="66">
        <f t="shared" si="8"/>
        <v>0</v>
      </c>
      <c r="AE40" s="61">
        <f t="shared" si="8"/>
        <v>13</v>
      </c>
      <c r="AF40" s="68">
        <f t="shared" si="0"/>
        <v>13</v>
      </c>
    </row>
    <row r="41" spans="1:32" hidden="1" x14ac:dyDescent="0.35">
      <c r="A41" s="59" t="s">
        <v>247</v>
      </c>
      <c r="B41" s="54" t="s">
        <v>248</v>
      </c>
      <c r="C41" s="60" t="s">
        <v>225</v>
      </c>
      <c r="D41" s="60">
        <v>12</v>
      </c>
      <c r="E41" s="60"/>
      <c r="F41" s="60"/>
      <c r="G41" s="61">
        <f>SUM(D41:F41)</f>
        <v>12</v>
      </c>
      <c r="H41" s="60"/>
      <c r="I41" s="60"/>
      <c r="J41" s="60"/>
      <c r="K41" s="61">
        <f>SUM(H41:J41)</f>
        <v>0</v>
      </c>
      <c r="L41" s="60">
        <v>1</v>
      </c>
      <c r="M41" s="60"/>
      <c r="N41" s="60"/>
      <c r="O41" s="61">
        <f>SUM(L41:N41)</f>
        <v>1</v>
      </c>
      <c r="P41" s="60"/>
      <c r="Q41" s="60"/>
      <c r="R41" s="60"/>
      <c r="S41" s="61">
        <f>SUM(P41:R41)</f>
        <v>0</v>
      </c>
      <c r="T41" s="60"/>
      <c r="U41" s="60"/>
      <c r="V41" s="60"/>
      <c r="W41" s="61">
        <f>SUM(T41:V41)</f>
        <v>0</v>
      </c>
      <c r="X41" s="60"/>
      <c r="Y41" s="60"/>
      <c r="Z41" s="60"/>
      <c r="AA41" s="61">
        <f>SUM(X41:Z41)</f>
        <v>0</v>
      </c>
      <c r="AB41" s="60"/>
      <c r="AC41" s="60"/>
      <c r="AD41" s="60"/>
      <c r="AE41" s="61">
        <f>SUM(AB41:AD41)</f>
        <v>0</v>
      </c>
      <c r="AF41" s="62">
        <f t="shared" si="0"/>
        <v>13</v>
      </c>
    </row>
    <row r="42" spans="1:32" hidden="1" x14ac:dyDescent="0.35">
      <c r="A42" s="112" t="s">
        <v>249</v>
      </c>
      <c r="C42" s="63" t="s">
        <v>227</v>
      </c>
      <c r="D42" s="63">
        <v>11</v>
      </c>
      <c r="E42" s="63">
        <v>1</v>
      </c>
      <c r="F42" s="63"/>
      <c r="G42" s="61">
        <f>SUM(D42:F42)</f>
        <v>12</v>
      </c>
      <c r="H42" s="63"/>
      <c r="I42" s="63"/>
      <c r="J42" s="63"/>
      <c r="K42" s="61">
        <f>SUM(H42:J42)</f>
        <v>0</v>
      </c>
      <c r="L42" s="63">
        <v>2</v>
      </c>
      <c r="M42" s="63">
        <v>1</v>
      </c>
      <c r="N42" s="63"/>
      <c r="O42" s="61">
        <f>SUM(L42:N42)</f>
        <v>3</v>
      </c>
      <c r="P42" s="63"/>
      <c r="Q42" s="63"/>
      <c r="R42" s="63"/>
      <c r="S42" s="61">
        <f>SUM(P42:R42)</f>
        <v>0</v>
      </c>
      <c r="T42" s="63"/>
      <c r="U42" s="63"/>
      <c r="V42" s="63"/>
      <c r="W42" s="61">
        <f>SUM(T42:V42)</f>
        <v>0</v>
      </c>
      <c r="X42" s="63"/>
      <c r="Y42" s="63"/>
      <c r="Z42" s="63"/>
      <c r="AA42" s="61">
        <f>SUM(X42:Z42)</f>
        <v>0</v>
      </c>
      <c r="AB42" s="63"/>
      <c r="AC42" s="63"/>
      <c r="AD42" s="63"/>
      <c r="AE42" s="61">
        <f>SUM(AB42:AD42)</f>
        <v>0</v>
      </c>
      <c r="AF42" s="64">
        <f t="shared" si="0"/>
        <v>15</v>
      </c>
    </row>
    <row r="43" spans="1:32" hidden="1" x14ac:dyDescent="0.35">
      <c r="A43" s="112"/>
      <c r="C43" s="60" t="s">
        <v>228</v>
      </c>
      <c r="D43" s="60"/>
      <c r="E43" s="60"/>
      <c r="F43" s="60"/>
      <c r="G43" s="61">
        <f>SUM(D43:F43)</f>
        <v>0</v>
      </c>
      <c r="H43" s="60">
        <v>7</v>
      </c>
      <c r="I43" s="60">
        <v>1</v>
      </c>
      <c r="J43" s="60"/>
      <c r="K43" s="61">
        <f>SUM(H43:J43)</f>
        <v>8</v>
      </c>
      <c r="L43" s="60">
        <v>3</v>
      </c>
      <c r="M43" s="60"/>
      <c r="N43" s="60"/>
      <c r="O43" s="61">
        <f>SUM(L43:N43)</f>
        <v>3</v>
      </c>
      <c r="P43" s="60"/>
      <c r="Q43" s="60"/>
      <c r="R43" s="60"/>
      <c r="S43" s="61">
        <f>SUM(P43:R43)</f>
        <v>0</v>
      </c>
      <c r="T43" s="60"/>
      <c r="U43" s="60"/>
      <c r="V43" s="60"/>
      <c r="W43" s="61">
        <f>SUM(T43:V43)</f>
        <v>0</v>
      </c>
      <c r="X43" s="60"/>
      <c r="Y43" s="60"/>
      <c r="Z43" s="60"/>
      <c r="AA43" s="61">
        <f>SUM(X43:Z43)</f>
        <v>0</v>
      </c>
      <c r="AB43" s="60"/>
      <c r="AC43" s="60"/>
      <c r="AD43" s="60"/>
      <c r="AE43" s="61">
        <f>SUM(AB43:AD43)</f>
        <v>0</v>
      </c>
      <c r="AF43" s="65">
        <f t="shared" si="0"/>
        <v>11</v>
      </c>
    </row>
    <row r="44" spans="1:32" hidden="1" x14ac:dyDescent="0.35">
      <c r="C44" s="63" t="s">
        <v>235</v>
      </c>
      <c r="D44" s="63">
        <v>9</v>
      </c>
      <c r="E44" s="63"/>
      <c r="F44" s="63"/>
      <c r="G44" s="61">
        <f>SUM(D44:F44)</f>
        <v>9</v>
      </c>
      <c r="H44" s="63"/>
      <c r="I44" s="63"/>
      <c r="J44" s="63"/>
      <c r="K44" s="61">
        <f>SUM(H44:J44)</f>
        <v>0</v>
      </c>
      <c r="L44" s="63"/>
      <c r="M44" s="63">
        <v>2</v>
      </c>
      <c r="N44" s="63"/>
      <c r="O44" s="61">
        <f>SUM(L44:N44)</f>
        <v>2</v>
      </c>
      <c r="P44" s="63"/>
      <c r="Q44" s="63"/>
      <c r="R44" s="63"/>
      <c r="S44" s="61">
        <f>SUM(P44:R44)</f>
        <v>0</v>
      </c>
      <c r="T44" s="63"/>
      <c r="U44" s="63"/>
      <c r="V44" s="63"/>
      <c r="W44" s="61">
        <f>SUM(T44:V44)</f>
        <v>0</v>
      </c>
      <c r="X44" s="63"/>
      <c r="Y44" s="63"/>
      <c r="Z44" s="63"/>
      <c r="AA44" s="61">
        <f>SUM(X44:Z44)</f>
        <v>0</v>
      </c>
      <c r="AB44" s="63"/>
      <c r="AC44" s="63"/>
      <c r="AD44" s="63"/>
      <c r="AE44" s="61">
        <f>SUM(AB44:AD44)</f>
        <v>0</v>
      </c>
      <c r="AF44" s="63">
        <f t="shared" si="0"/>
        <v>11</v>
      </c>
    </row>
    <row r="45" spans="1:32" hidden="1" x14ac:dyDescent="0.35">
      <c r="A45" s="66" t="s">
        <v>249</v>
      </c>
      <c r="B45" s="67" t="s">
        <v>248</v>
      </c>
      <c r="C45" s="66"/>
      <c r="D45" s="66">
        <f t="shared" ref="D45:AE45" si="9">SUM(D41:D44)</f>
        <v>32</v>
      </c>
      <c r="E45" s="66">
        <f t="shared" si="9"/>
        <v>1</v>
      </c>
      <c r="F45" s="66">
        <f t="shared" si="9"/>
        <v>0</v>
      </c>
      <c r="G45" s="61">
        <f t="shared" si="9"/>
        <v>33</v>
      </c>
      <c r="H45" s="66">
        <f t="shared" si="9"/>
        <v>7</v>
      </c>
      <c r="I45" s="66">
        <f t="shared" si="9"/>
        <v>1</v>
      </c>
      <c r="J45" s="66">
        <f t="shared" si="9"/>
        <v>0</v>
      </c>
      <c r="K45" s="61">
        <f t="shared" si="9"/>
        <v>8</v>
      </c>
      <c r="L45" s="66">
        <f t="shared" si="9"/>
        <v>6</v>
      </c>
      <c r="M45" s="66">
        <f t="shared" si="9"/>
        <v>3</v>
      </c>
      <c r="N45" s="66">
        <f t="shared" si="9"/>
        <v>0</v>
      </c>
      <c r="O45" s="61">
        <f t="shared" si="9"/>
        <v>9</v>
      </c>
      <c r="P45" s="66">
        <f t="shared" si="9"/>
        <v>0</v>
      </c>
      <c r="Q45" s="66">
        <f t="shared" si="9"/>
        <v>0</v>
      </c>
      <c r="R45" s="66">
        <f t="shared" si="9"/>
        <v>0</v>
      </c>
      <c r="S45" s="61">
        <f t="shared" si="9"/>
        <v>0</v>
      </c>
      <c r="T45" s="66">
        <f t="shared" si="9"/>
        <v>0</v>
      </c>
      <c r="U45" s="66">
        <f t="shared" si="9"/>
        <v>0</v>
      </c>
      <c r="V45" s="66">
        <f t="shared" si="9"/>
        <v>0</v>
      </c>
      <c r="W45" s="61">
        <f t="shared" si="9"/>
        <v>0</v>
      </c>
      <c r="X45" s="66">
        <f t="shared" si="9"/>
        <v>0</v>
      </c>
      <c r="Y45" s="66">
        <f t="shared" si="9"/>
        <v>0</v>
      </c>
      <c r="Z45" s="66">
        <f t="shared" si="9"/>
        <v>0</v>
      </c>
      <c r="AA45" s="61">
        <f t="shared" si="9"/>
        <v>0</v>
      </c>
      <c r="AB45" s="66">
        <f t="shared" si="9"/>
        <v>0</v>
      </c>
      <c r="AC45" s="66">
        <f t="shared" si="9"/>
        <v>0</v>
      </c>
      <c r="AD45" s="66">
        <f t="shared" si="9"/>
        <v>0</v>
      </c>
      <c r="AE45" s="61">
        <f t="shared" si="9"/>
        <v>0</v>
      </c>
      <c r="AF45" s="68">
        <f t="shared" si="0"/>
        <v>50</v>
      </c>
    </row>
    <row r="46" spans="1:32" ht="15" hidden="1" customHeight="1" x14ac:dyDescent="0.35">
      <c r="A46" s="116" t="s">
        <v>250</v>
      </c>
      <c r="C46" s="60" t="s">
        <v>225</v>
      </c>
      <c r="D46" s="60"/>
      <c r="E46" s="60"/>
      <c r="F46" s="60"/>
      <c r="G46" s="61">
        <f>SUM(D46:F46)</f>
        <v>0</v>
      </c>
      <c r="H46" s="60"/>
      <c r="I46" s="60"/>
      <c r="J46" s="60"/>
      <c r="K46" s="61">
        <f>SUM(H46:J46)</f>
        <v>0</v>
      </c>
      <c r="L46" s="60"/>
      <c r="M46" s="60"/>
      <c r="N46" s="60"/>
      <c r="O46" s="61">
        <f>SUM(L46:N46)</f>
        <v>0</v>
      </c>
      <c r="P46" s="60"/>
      <c r="Q46" s="60"/>
      <c r="R46" s="60"/>
      <c r="S46" s="61">
        <f>SUM(P46:R46)</f>
        <v>0</v>
      </c>
      <c r="T46" s="60"/>
      <c r="U46" s="60"/>
      <c r="V46" s="60"/>
      <c r="W46" s="61">
        <f>SUM(T46:V46)</f>
        <v>0</v>
      </c>
      <c r="X46" s="60"/>
      <c r="Y46" s="60"/>
      <c r="Z46" s="60"/>
      <c r="AA46" s="61">
        <f>SUM(X46:Z46)</f>
        <v>0</v>
      </c>
      <c r="AB46" s="60"/>
      <c r="AC46" s="60"/>
      <c r="AD46" s="60"/>
      <c r="AE46" s="61">
        <f>SUM(AB46:AD46)</f>
        <v>0</v>
      </c>
      <c r="AF46" s="62">
        <f t="shared" si="0"/>
        <v>0</v>
      </c>
    </row>
    <row r="47" spans="1:32" hidden="1" x14ac:dyDescent="0.35">
      <c r="A47" s="111"/>
      <c r="C47" s="63" t="s">
        <v>227</v>
      </c>
      <c r="D47" s="63"/>
      <c r="E47" s="63"/>
      <c r="F47" s="63"/>
      <c r="G47" s="61">
        <f>SUM(D47:F47)</f>
        <v>0</v>
      </c>
      <c r="H47" s="63"/>
      <c r="I47" s="63"/>
      <c r="J47" s="63"/>
      <c r="K47" s="61">
        <f>SUM(H47:J47)</f>
        <v>0</v>
      </c>
      <c r="L47" s="63"/>
      <c r="M47" s="63"/>
      <c r="N47" s="63"/>
      <c r="O47" s="61">
        <f>SUM(L47:N47)</f>
        <v>0</v>
      </c>
      <c r="P47" s="63"/>
      <c r="Q47" s="63"/>
      <c r="R47" s="63"/>
      <c r="S47" s="61">
        <f>SUM(P47:R47)</f>
        <v>0</v>
      </c>
      <c r="T47" s="63"/>
      <c r="U47" s="63"/>
      <c r="V47" s="63"/>
      <c r="W47" s="61">
        <f>SUM(T47:V47)</f>
        <v>0</v>
      </c>
      <c r="X47" s="63"/>
      <c r="Y47" s="63"/>
      <c r="Z47" s="63"/>
      <c r="AA47" s="61">
        <f>SUM(X47:Z47)</f>
        <v>0</v>
      </c>
      <c r="AB47" s="63"/>
      <c r="AC47" s="63"/>
      <c r="AD47" s="63"/>
      <c r="AE47" s="61">
        <f>SUM(AB47:AD47)</f>
        <v>0</v>
      </c>
      <c r="AF47" s="64">
        <f t="shared" si="0"/>
        <v>0</v>
      </c>
    </row>
    <row r="48" spans="1:32" hidden="1" x14ac:dyDescent="0.35">
      <c r="A48" s="111"/>
      <c r="C48" s="60" t="s">
        <v>228</v>
      </c>
      <c r="D48" s="60"/>
      <c r="E48" s="60"/>
      <c r="F48" s="60"/>
      <c r="G48" s="61">
        <f>SUM(D48:F48)</f>
        <v>0</v>
      </c>
      <c r="H48" s="60"/>
      <c r="I48" s="60"/>
      <c r="J48" s="60"/>
      <c r="K48" s="61">
        <f>SUM(H48:J48)</f>
        <v>0</v>
      </c>
      <c r="L48" s="60"/>
      <c r="M48" s="60"/>
      <c r="N48" s="60"/>
      <c r="O48" s="61">
        <f>SUM(L48:N48)</f>
        <v>0</v>
      </c>
      <c r="P48" s="60"/>
      <c r="Q48" s="60"/>
      <c r="R48" s="60"/>
      <c r="S48" s="61">
        <f>SUM(P48:R48)</f>
        <v>0</v>
      </c>
      <c r="T48" s="60"/>
      <c r="U48" s="60"/>
      <c r="V48" s="60"/>
      <c r="W48" s="61">
        <f>SUM(T48:V48)</f>
        <v>0</v>
      </c>
      <c r="X48" s="60"/>
      <c r="Y48" s="60"/>
      <c r="Z48" s="60"/>
      <c r="AA48" s="61">
        <f>SUM(X48:Z48)</f>
        <v>0</v>
      </c>
      <c r="AB48" s="60"/>
      <c r="AC48" s="60"/>
      <c r="AD48" s="60"/>
      <c r="AE48" s="61">
        <f>SUM(AB48:AD48)</f>
        <v>0</v>
      </c>
      <c r="AF48" s="65">
        <f t="shared" si="0"/>
        <v>0</v>
      </c>
    </row>
    <row r="49" spans="1:32" hidden="1" x14ac:dyDescent="0.35">
      <c r="A49" s="117"/>
      <c r="C49" s="63" t="s">
        <v>235</v>
      </c>
      <c r="D49" s="63"/>
      <c r="E49" s="63"/>
      <c r="F49" s="63"/>
      <c r="G49" s="61">
        <f>SUM(D49:F49)</f>
        <v>0</v>
      </c>
      <c r="H49" s="63"/>
      <c r="I49" s="63"/>
      <c r="J49" s="63"/>
      <c r="K49" s="61">
        <f>SUM(H49:J49)</f>
        <v>0</v>
      </c>
      <c r="L49" s="63"/>
      <c r="M49" s="63"/>
      <c r="N49" s="63"/>
      <c r="O49" s="61">
        <f>SUM(L49:N49)</f>
        <v>0</v>
      </c>
      <c r="P49" s="63"/>
      <c r="Q49" s="63"/>
      <c r="R49" s="63"/>
      <c r="S49" s="61">
        <f>SUM(P49:R49)</f>
        <v>0</v>
      </c>
      <c r="T49" s="63"/>
      <c r="U49" s="63"/>
      <c r="V49" s="63"/>
      <c r="W49" s="61">
        <f>SUM(T49:V49)</f>
        <v>0</v>
      </c>
      <c r="X49" s="63"/>
      <c r="Y49" s="63"/>
      <c r="Z49" s="63"/>
      <c r="AA49" s="61">
        <f>SUM(X49:Z49)</f>
        <v>0</v>
      </c>
      <c r="AB49" s="63"/>
      <c r="AC49" s="63"/>
      <c r="AD49" s="63"/>
      <c r="AE49" s="61">
        <f>SUM(AB49:AD49)</f>
        <v>0</v>
      </c>
      <c r="AF49" s="63">
        <f t="shared" si="0"/>
        <v>0</v>
      </c>
    </row>
    <row r="50" spans="1:32" hidden="1" x14ac:dyDescent="0.35">
      <c r="A50" s="66" t="s">
        <v>250</v>
      </c>
      <c r="B50" s="67"/>
      <c r="C50" s="73"/>
      <c r="D50" s="73">
        <f t="shared" ref="D50:AE50" si="10">SUM(D46:D49)</f>
        <v>0</v>
      </c>
      <c r="E50" s="73">
        <f t="shared" si="10"/>
        <v>0</v>
      </c>
      <c r="F50" s="73">
        <f t="shared" si="10"/>
        <v>0</v>
      </c>
      <c r="G50" s="56">
        <f t="shared" si="10"/>
        <v>0</v>
      </c>
      <c r="H50" s="73">
        <f t="shared" si="10"/>
        <v>0</v>
      </c>
      <c r="I50" s="73">
        <f t="shared" si="10"/>
        <v>0</v>
      </c>
      <c r="J50" s="73">
        <f t="shared" si="10"/>
        <v>0</v>
      </c>
      <c r="K50" s="56">
        <f t="shared" si="10"/>
        <v>0</v>
      </c>
      <c r="L50" s="73">
        <f t="shared" si="10"/>
        <v>0</v>
      </c>
      <c r="M50" s="73">
        <f t="shared" si="10"/>
        <v>0</v>
      </c>
      <c r="N50" s="73">
        <f t="shared" si="10"/>
        <v>0</v>
      </c>
      <c r="O50" s="56">
        <f t="shared" si="10"/>
        <v>0</v>
      </c>
      <c r="P50" s="73">
        <f t="shared" si="10"/>
        <v>0</v>
      </c>
      <c r="Q50" s="73">
        <f t="shared" si="10"/>
        <v>0</v>
      </c>
      <c r="R50" s="73">
        <f t="shared" si="10"/>
        <v>0</v>
      </c>
      <c r="S50" s="56">
        <f t="shared" si="10"/>
        <v>0</v>
      </c>
      <c r="T50" s="73">
        <f t="shared" si="10"/>
        <v>0</v>
      </c>
      <c r="U50" s="73">
        <f t="shared" si="10"/>
        <v>0</v>
      </c>
      <c r="V50" s="73">
        <f t="shared" si="10"/>
        <v>0</v>
      </c>
      <c r="W50" s="56">
        <f t="shared" si="10"/>
        <v>0</v>
      </c>
      <c r="X50" s="73">
        <f t="shared" si="10"/>
        <v>0</v>
      </c>
      <c r="Y50" s="73">
        <f t="shared" si="10"/>
        <v>0</v>
      </c>
      <c r="Z50" s="73">
        <f t="shared" si="10"/>
        <v>0</v>
      </c>
      <c r="AA50" s="56">
        <f t="shared" si="10"/>
        <v>0</v>
      </c>
      <c r="AB50" s="73">
        <f t="shared" si="10"/>
        <v>0</v>
      </c>
      <c r="AC50" s="73">
        <f t="shared" si="10"/>
        <v>0</v>
      </c>
      <c r="AD50" s="73">
        <f t="shared" si="10"/>
        <v>0</v>
      </c>
      <c r="AE50" s="56">
        <f t="shared" si="10"/>
        <v>0</v>
      </c>
      <c r="AF50" s="74">
        <f t="shared" si="0"/>
        <v>0</v>
      </c>
    </row>
    <row r="51" spans="1:32" x14ac:dyDescent="0.35">
      <c r="A51" s="66" t="s">
        <v>247</v>
      </c>
      <c r="B51" s="67" t="s">
        <v>248</v>
      </c>
      <c r="C51" s="66"/>
      <c r="D51" s="66">
        <f t="shared" ref="D51:AE51" si="11">SUM(D45,D50)</f>
        <v>32</v>
      </c>
      <c r="E51" s="66">
        <f t="shared" si="11"/>
        <v>1</v>
      </c>
      <c r="F51" s="66">
        <f t="shared" si="11"/>
        <v>0</v>
      </c>
      <c r="G51" s="61">
        <f t="shared" si="11"/>
        <v>33</v>
      </c>
      <c r="H51" s="66">
        <f t="shared" si="11"/>
        <v>7</v>
      </c>
      <c r="I51" s="66">
        <f t="shared" si="11"/>
        <v>1</v>
      </c>
      <c r="J51" s="66">
        <f t="shared" si="11"/>
        <v>0</v>
      </c>
      <c r="K51" s="61">
        <f t="shared" si="11"/>
        <v>8</v>
      </c>
      <c r="L51" s="66">
        <f t="shared" si="11"/>
        <v>6</v>
      </c>
      <c r="M51" s="66">
        <f t="shared" si="11"/>
        <v>3</v>
      </c>
      <c r="N51" s="66">
        <f t="shared" si="11"/>
        <v>0</v>
      </c>
      <c r="O51" s="61">
        <f t="shared" si="11"/>
        <v>9</v>
      </c>
      <c r="P51" s="66">
        <f t="shared" si="11"/>
        <v>0</v>
      </c>
      <c r="Q51" s="66">
        <f t="shared" si="11"/>
        <v>0</v>
      </c>
      <c r="R51" s="66">
        <f t="shared" si="11"/>
        <v>0</v>
      </c>
      <c r="S51" s="61">
        <f t="shared" si="11"/>
        <v>0</v>
      </c>
      <c r="T51" s="66">
        <f t="shared" si="11"/>
        <v>0</v>
      </c>
      <c r="U51" s="66">
        <f t="shared" si="11"/>
        <v>0</v>
      </c>
      <c r="V51" s="66">
        <f t="shared" si="11"/>
        <v>0</v>
      </c>
      <c r="W51" s="61">
        <f t="shared" si="11"/>
        <v>0</v>
      </c>
      <c r="X51" s="66">
        <f t="shared" si="11"/>
        <v>0</v>
      </c>
      <c r="Y51" s="66">
        <f t="shared" si="11"/>
        <v>0</v>
      </c>
      <c r="Z51" s="66">
        <f t="shared" si="11"/>
        <v>0</v>
      </c>
      <c r="AA51" s="61">
        <f t="shared" si="11"/>
        <v>0</v>
      </c>
      <c r="AB51" s="66">
        <f t="shared" si="11"/>
        <v>0</v>
      </c>
      <c r="AC51" s="66">
        <f t="shared" si="11"/>
        <v>0</v>
      </c>
      <c r="AD51" s="66">
        <f t="shared" si="11"/>
        <v>0</v>
      </c>
      <c r="AE51" s="61">
        <f t="shared" si="11"/>
        <v>0</v>
      </c>
      <c r="AF51" s="68">
        <f t="shared" si="0"/>
        <v>50</v>
      </c>
    </row>
    <row r="52" spans="1:32" hidden="1" x14ac:dyDescent="0.35">
      <c r="A52" s="59" t="s">
        <v>251</v>
      </c>
      <c r="B52" s="54">
        <v>25</v>
      </c>
      <c r="C52" s="60" t="s">
        <v>225</v>
      </c>
      <c r="D52" s="60"/>
      <c r="E52" s="60"/>
      <c r="F52" s="60"/>
      <c r="G52" s="61">
        <f>SUM(D52:F52)</f>
        <v>0</v>
      </c>
      <c r="H52" s="60"/>
      <c r="I52" s="60"/>
      <c r="J52" s="60"/>
      <c r="K52" s="61">
        <f>SUM(H52:J52)</f>
        <v>0</v>
      </c>
      <c r="L52" s="60"/>
      <c r="M52" s="60"/>
      <c r="N52" s="60"/>
      <c r="O52" s="61">
        <f>SUM(L52:N52)</f>
        <v>0</v>
      </c>
      <c r="P52" s="60"/>
      <c r="Q52" s="60"/>
      <c r="R52" s="60"/>
      <c r="S52" s="61">
        <f>SUM(P52:R52)</f>
        <v>0</v>
      </c>
      <c r="T52" s="60"/>
      <c r="U52" s="60"/>
      <c r="V52" s="60"/>
      <c r="W52" s="61">
        <f>SUM(T52:V52)</f>
        <v>0</v>
      </c>
      <c r="X52" s="60"/>
      <c r="Y52" s="60"/>
      <c r="Z52" s="60"/>
      <c r="AA52" s="61">
        <f>SUM(X52:Z52)</f>
        <v>0</v>
      </c>
      <c r="AB52" s="60"/>
      <c r="AC52" s="60"/>
      <c r="AD52" s="60"/>
      <c r="AE52" s="61">
        <f>SUM(AB52:AD52)</f>
        <v>0</v>
      </c>
      <c r="AF52" s="62">
        <f t="shared" si="0"/>
        <v>0</v>
      </c>
    </row>
    <row r="53" spans="1:32" hidden="1" x14ac:dyDescent="0.35">
      <c r="A53" s="112" t="s">
        <v>245</v>
      </c>
      <c r="C53" s="63" t="s">
        <v>227</v>
      </c>
      <c r="D53" s="63"/>
      <c r="E53" s="63"/>
      <c r="F53" s="63"/>
      <c r="G53" s="61">
        <f>SUM(D53:F53)</f>
        <v>0</v>
      </c>
      <c r="H53" s="63"/>
      <c r="I53" s="63"/>
      <c r="J53" s="63"/>
      <c r="K53" s="61">
        <f>SUM(H53:J53)</f>
        <v>0</v>
      </c>
      <c r="L53" s="63"/>
      <c r="M53" s="63"/>
      <c r="N53" s="63"/>
      <c r="O53" s="61">
        <f>SUM(L53:N53)</f>
        <v>0</v>
      </c>
      <c r="P53" s="63"/>
      <c r="Q53" s="63"/>
      <c r="R53" s="63"/>
      <c r="S53" s="61">
        <f>SUM(P53:R53)</f>
        <v>0</v>
      </c>
      <c r="T53" s="63"/>
      <c r="U53" s="63"/>
      <c r="V53" s="63"/>
      <c r="W53" s="61">
        <f>SUM(T53:V53)</f>
        <v>0</v>
      </c>
      <c r="X53" s="63"/>
      <c r="Y53" s="63"/>
      <c r="Z53" s="63"/>
      <c r="AA53" s="61">
        <f>SUM(X53:Z53)</f>
        <v>0</v>
      </c>
      <c r="AB53" s="63"/>
      <c r="AC53" s="63"/>
      <c r="AD53" s="63"/>
      <c r="AE53" s="61">
        <f>SUM(AB53:AD53)</f>
        <v>0</v>
      </c>
      <c r="AF53" s="64">
        <f t="shared" si="0"/>
        <v>0</v>
      </c>
    </row>
    <row r="54" spans="1:32" hidden="1" x14ac:dyDescent="0.35">
      <c r="A54" s="112"/>
      <c r="C54" s="60" t="s">
        <v>228</v>
      </c>
      <c r="D54" s="60"/>
      <c r="E54" s="60"/>
      <c r="F54" s="60"/>
      <c r="G54" s="61">
        <f>SUM(D54:F54)</f>
        <v>0</v>
      </c>
      <c r="H54" s="60"/>
      <c r="I54" s="60"/>
      <c r="J54" s="60"/>
      <c r="K54" s="61">
        <f>SUM(H54:J54)</f>
        <v>0</v>
      </c>
      <c r="L54" s="60"/>
      <c r="M54" s="60"/>
      <c r="N54" s="60"/>
      <c r="O54" s="61">
        <f>SUM(L54:N54)</f>
        <v>0</v>
      </c>
      <c r="P54" s="60"/>
      <c r="Q54" s="60"/>
      <c r="R54" s="60"/>
      <c r="S54" s="61">
        <f>SUM(P54:R54)</f>
        <v>0</v>
      </c>
      <c r="T54" s="60"/>
      <c r="U54" s="60"/>
      <c r="V54" s="60"/>
      <c r="W54" s="61">
        <f>SUM(T54:V54)</f>
        <v>0</v>
      </c>
      <c r="X54" s="60"/>
      <c r="Y54" s="60"/>
      <c r="Z54" s="60"/>
      <c r="AA54" s="61">
        <f>SUM(X54:Z54)</f>
        <v>0</v>
      </c>
      <c r="AB54" s="60"/>
      <c r="AC54" s="60"/>
      <c r="AD54" s="60"/>
      <c r="AE54" s="61">
        <f>SUM(AB54:AD54)</f>
        <v>0</v>
      </c>
      <c r="AF54" s="65">
        <f t="shared" si="0"/>
        <v>0</v>
      </c>
    </row>
    <row r="55" spans="1:32" hidden="1" x14ac:dyDescent="0.35">
      <c r="C55" s="63" t="s">
        <v>235</v>
      </c>
      <c r="D55" s="63">
        <v>4</v>
      </c>
      <c r="E55" s="63"/>
      <c r="F55" s="63"/>
      <c r="G55" s="61">
        <f>SUM(D55:F55)</f>
        <v>4</v>
      </c>
      <c r="H55" s="63"/>
      <c r="I55" s="63"/>
      <c r="J55" s="63"/>
      <c r="K55" s="61">
        <f>SUM(H55:J55)</f>
        <v>0</v>
      </c>
      <c r="L55" s="63">
        <v>1</v>
      </c>
      <c r="M55" s="63"/>
      <c r="N55" s="63"/>
      <c r="O55" s="61">
        <f>SUM(L55:N55)</f>
        <v>1</v>
      </c>
      <c r="P55" s="63"/>
      <c r="Q55" s="63"/>
      <c r="R55" s="63"/>
      <c r="S55" s="61">
        <f>SUM(P55:R55)</f>
        <v>0</v>
      </c>
      <c r="T55" s="63"/>
      <c r="U55" s="63"/>
      <c r="V55" s="63"/>
      <c r="W55" s="61">
        <f>SUM(T55:V55)</f>
        <v>0</v>
      </c>
      <c r="X55" s="63"/>
      <c r="Y55" s="63"/>
      <c r="Z55" s="63"/>
      <c r="AA55" s="61">
        <f>SUM(X55:Z55)</f>
        <v>0</v>
      </c>
      <c r="AB55" s="63"/>
      <c r="AC55" s="63"/>
      <c r="AD55" s="63"/>
      <c r="AE55" s="61">
        <f>SUM(AB55:AD55)</f>
        <v>0</v>
      </c>
      <c r="AF55" s="63">
        <f t="shared" si="0"/>
        <v>5</v>
      </c>
    </row>
    <row r="56" spans="1:32" x14ac:dyDescent="0.35">
      <c r="A56" s="66" t="s">
        <v>252</v>
      </c>
      <c r="B56" s="67">
        <v>25</v>
      </c>
      <c r="C56" s="66"/>
      <c r="D56" s="66">
        <f t="shared" ref="D56:AE56" si="12">SUM(D52:D55)</f>
        <v>4</v>
      </c>
      <c r="E56" s="66">
        <f t="shared" si="12"/>
        <v>0</v>
      </c>
      <c r="F56" s="66">
        <f t="shared" si="12"/>
        <v>0</v>
      </c>
      <c r="G56" s="61">
        <f t="shared" si="12"/>
        <v>4</v>
      </c>
      <c r="H56" s="66">
        <f t="shared" si="12"/>
        <v>0</v>
      </c>
      <c r="I56" s="66">
        <f t="shared" si="12"/>
        <v>0</v>
      </c>
      <c r="J56" s="66">
        <f t="shared" si="12"/>
        <v>0</v>
      </c>
      <c r="K56" s="61">
        <f t="shared" si="12"/>
        <v>0</v>
      </c>
      <c r="L56" s="66">
        <f t="shared" si="12"/>
        <v>1</v>
      </c>
      <c r="M56" s="66">
        <f t="shared" si="12"/>
        <v>0</v>
      </c>
      <c r="N56" s="66">
        <f t="shared" si="12"/>
        <v>0</v>
      </c>
      <c r="O56" s="61">
        <f t="shared" si="12"/>
        <v>1</v>
      </c>
      <c r="P56" s="66">
        <f t="shared" si="12"/>
        <v>0</v>
      </c>
      <c r="Q56" s="66">
        <f t="shared" si="12"/>
        <v>0</v>
      </c>
      <c r="R56" s="66">
        <f t="shared" si="12"/>
        <v>0</v>
      </c>
      <c r="S56" s="61">
        <f t="shared" si="12"/>
        <v>0</v>
      </c>
      <c r="T56" s="66">
        <f t="shared" si="12"/>
        <v>0</v>
      </c>
      <c r="U56" s="66">
        <f t="shared" si="12"/>
        <v>0</v>
      </c>
      <c r="V56" s="66">
        <f t="shared" si="12"/>
        <v>0</v>
      </c>
      <c r="W56" s="61">
        <f t="shared" si="12"/>
        <v>0</v>
      </c>
      <c r="X56" s="66">
        <f t="shared" si="12"/>
        <v>0</v>
      </c>
      <c r="Y56" s="66">
        <f t="shared" si="12"/>
        <v>0</v>
      </c>
      <c r="Z56" s="66">
        <f t="shared" si="12"/>
        <v>0</v>
      </c>
      <c r="AA56" s="61">
        <f t="shared" si="12"/>
        <v>0</v>
      </c>
      <c r="AB56" s="66">
        <f t="shared" si="12"/>
        <v>0</v>
      </c>
      <c r="AC56" s="66">
        <f t="shared" si="12"/>
        <v>0</v>
      </c>
      <c r="AD56" s="66">
        <f t="shared" si="12"/>
        <v>0</v>
      </c>
      <c r="AE56" s="61">
        <f t="shared" si="12"/>
        <v>0</v>
      </c>
      <c r="AF56" s="68">
        <f t="shared" si="0"/>
        <v>5</v>
      </c>
    </row>
    <row r="57" spans="1:32" hidden="1" x14ac:dyDescent="0.35">
      <c r="A57" s="59" t="s">
        <v>253</v>
      </c>
      <c r="C57" s="60" t="s">
        <v>225</v>
      </c>
      <c r="D57" s="60"/>
      <c r="E57" s="60"/>
      <c r="F57" s="60"/>
      <c r="G57" s="61">
        <f>SUM(D57:F57)</f>
        <v>0</v>
      </c>
      <c r="H57" s="60"/>
      <c r="I57" s="60"/>
      <c r="J57" s="60"/>
      <c r="K57" s="61">
        <f>SUM(H57:J57)</f>
        <v>0</v>
      </c>
      <c r="L57" s="60"/>
      <c r="M57" s="60"/>
      <c r="N57" s="60"/>
      <c r="O57" s="61">
        <f>SUM(L57:N57)</f>
        <v>0</v>
      </c>
      <c r="P57" s="60"/>
      <c r="Q57" s="60"/>
      <c r="R57" s="60"/>
      <c r="S57" s="61">
        <f>SUM(P57:R57)</f>
        <v>0</v>
      </c>
      <c r="T57" s="60"/>
      <c r="U57" s="60"/>
      <c r="V57" s="60"/>
      <c r="W57" s="61">
        <f>SUM(T57:V57)</f>
        <v>0</v>
      </c>
      <c r="X57" s="60"/>
      <c r="Y57" s="60"/>
      <c r="Z57" s="60"/>
      <c r="AA57" s="61">
        <f>SUM(X57:Z57)</f>
        <v>0</v>
      </c>
      <c r="AB57" s="60"/>
      <c r="AC57" s="60"/>
      <c r="AD57" s="60"/>
      <c r="AE57" s="61">
        <f>SUM(AB57:AD57)</f>
        <v>0</v>
      </c>
      <c r="AF57" s="62">
        <f t="shared" si="0"/>
        <v>0</v>
      </c>
    </row>
    <row r="58" spans="1:32" hidden="1" x14ac:dyDescent="0.35">
      <c r="A58" s="111" t="s">
        <v>254</v>
      </c>
      <c r="C58" s="63" t="s">
        <v>227</v>
      </c>
      <c r="D58" s="63"/>
      <c r="E58" s="63"/>
      <c r="F58" s="63"/>
      <c r="G58" s="61">
        <f>SUM(D58:F58)</f>
        <v>0</v>
      </c>
      <c r="H58" s="63"/>
      <c r="I58" s="63"/>
      <c r="J58" s="63"/>
      <c r="K58" s="61">
        <f>SUM(H58:J58)</f>
        <v>0</v>
      </c>
      <c r="L58" s="63"/>
      <c r="M58" s="63"/>
      <c r="N58" s="63"/>
      <c r="O58" s="61">
        <f>SUM(L58:N58)</f>
        <v>0</v>
      </c>
      <c r="P58" s="63"/>
      <c r="Q58" s="63"/>
      <c r="R58" s="63"/>
      <c r="S58" s="61">
        <f>SUM(P58:R58)</f>
        <v>0</v>
      </c>
      <c r="T58" s="63"/>
      <c r="U58" s="63"/>
      <c r="V58" s="63"/>
      <c r="W58" s="61">
        <f>SUM(T58:V58)</f>
        <v>0</v>
      </c>
      <c r="X58" s="63"/>
      <c r="Y58" s="63"/>
      <c r="Z58" s="63"/>
      <c r="AA58" s="61">
        <f>SUM(X58:Z58)</f>
        <v>0</v>
      </c>
      <c r="AB58" s="63"/>
      <c r="AC58" s="63"/>
      <c r="AD58" s="63"/>
      <c r="AE58" s="61">
        <f>SUM(AB58:AD58)</f>
        <v>0</v>
      </c>
      <c r="AF58" s="64">
        <f t="shared" si="0"/>
        <v>0</v>
      </c>
    </row>
    <row r="59" spans="1:32" hidden="1" x14ac:dyDescent="0.35">
      <c r="A59" s="111"/>
      <c r="C59" s="60" t="s">
        <v>228</v>
      </c>
      <c r="D59" s="60"/>
      <c r="E59" s="60"/>
      <c r="F59" s="60"/>
      <c r="G59" s="61">
        <f>SUM(D59:F59)</f>
        <v>0</v>
      </c>
      <c r="H59" s="60"/>
      <c r="I59" s="60"/>
      <c r="J59" s="60"/>
      <c r="K59" s="61">
        <f>SUM(H59:J59)</f>
        <v>0</v>
      </c>
      <c r="L59" s="60"/>
      <c r="M59" s="60"/>
      <c r="N59" s="60"/>
      <c r="O59" s="61">
        <f>SUM(L59:N59)</f>
        <v>0</v>
      </c>
      <c r="P59" s="60"/>
      <c r="Q59" s="60"/>
      <c r="R59" s="60"/>
      <c r="S59" s="61">
        <f>SUM(P59:R59)</f>
        <v>0</v>
      </c>
      <c r="T59" s="60"/>
      <c r="U59" s="60"/>
      <c r="V59" s="60"/>
      <c r="W59" s="61">
        <f>SUM(T59:V59)</f>
        <v>0</v>
      </c>
      <c r="X59" s="60"/>
      <c r="Y59" s="60"/>
      <c r="Z59" s="60"/>
      <c r="AA59" s="61">
        <f>SUM(X59:Z59)</f>
        <v>0</v>
      </c>
      <c r="AB59" s="60"/>
      <c r="AC59" s="60"/>
      <c r="AD59" s="60"/>
      <c r="AE59" s="61">
        <f>SUM(AB59:AD59)</f>
        <v>0</v>
      </c>
      <c r="AF59" s="65">
        <f t="shared" si="0"/>
        <v>0</v>
      </c>
    </row>
    <row r="60" spans="1:32" hidden="1" x14ac:dyDescent="0.35">
      <c r="C60" s="63" t="s">
        <v>235</v>
      </c>
      <c r="D60" s="63"/>
      <c r="E60" s="63"/>
      <c r="F60" s="63"/>
      <c r="G60" s="61">
        <f>SUM(D60:F60)</f>
        <v>0</v>
      </c>
      <c r="H60" s="63"/>
      <c r="I60" s="63"/>
      <c r="J60" s="63"/>
      <c r="K60" s="61">
        <f>SUM(H60:J60)</f>
        <v>0</v>
      </c>
      <c r="L60" s="63"/>
      <c r="M60" s="63"/>
      <c r="N60" s="63"/>
      <c r="O60" s="61">
        <f>SUM(L60:N60)</f>
        <v>0</v>
      </c>
      <c r="P60" s="63"/>
      <c r="Q60" s="63"/>
      <c r="R60" s="63"/>
      <c r="S60" s="61">
        <f>SUM(P60:R60)</f>
        <v>0</v>
      </c>
      <c r="T60" s="63"/>
      <c r="U60" s="63"/>
      <c r="V60" s="63"/>
      <c r="W60" s="61">
        <f>SUM(T60:V60)</f>
        <v>0</v>
      </c>
      <c r="X60" s="63"/>
      <c r="Y60" s="63"/>
      <c r="Z60" s="63"/>
      <c r="AA60" s="61">
        <f>SUM(X60:Z60)</f>
        <v>0</v>
      </c>
      <c r="AB60" s="63"/>
      <c r="AC60" s="63"/>
      <c r="AD60" s="63"/>
      <c r="AE60" s="61">
        <f>SUM(AB60:AD60)</f>
        <v>0</v>
      </c>
      <c r="AF60" s="63">
        <f t="shared" si="0"/>
        <v>0</v>
      </c>
    </row>
    <row r="61" spans="1:32" x14ac:dyDescent="0.35">
      <c r="A61" s="66" t="s">
        <v>253</v>
      </c>
      <c r="B61" s="67" t="s">
        <v>255</v>
      </c>
      <c r="C61" s="66"/>
      <c r="D61" s="66">
        <f t="shared" ref="D61:AE61" si="13">SUM(D57:D60)</f>
        <v>0</v>
      </c>
      <c r="E61" s="66">
        <f t="shared" si="13"/>
        <v>0</v>
      </c>
      <c r="F61" s="66">
        <f t="shared" si="13"/>
        <v>0</v>
      </c>
      <c r="G61" s="61">
        <f t="shared" si="13"/>
        <v>0</v>
      </c>
      <c r="H61" s="66">
        <f t="shared" si="13"/>
        <v>0</v>
      </c>
      <c r="I61" s="66">
        <f t="shared" si="13"/>
        <v>0</v>
      </c>
      <c r="J61" s="66">
        <f t="shared" si="13"/>
        <v>0</v>
      </c>
      <c r="K61" s="61">
        <f t="shared" si="13"/>
        <v>0</v>
      </c>
      <c r="L61" s="66">
        <f t="shared" si="13"/>
        <v>0</v>
      </c>
      <c r="M61" s="66">
        <f t="shared" si="13"/>
        <v>0</v>
      </c>
      <c r="N61" s="66">
        <f t="shared" si="13"/>
        <v>0</v>
      </c>
      <c r="O61" s="61">
        <f t="shared" si="13"/>
        <v>0</v>
      </c>
      <c r="P61" s="66">
        <f t="shared" si="13"/>
        <v>0</v>
      </c>
      <c r="Q61" s="66">
        <f t="shared" si="13"/>
        <v>0</v>
      </c>
      <c r="R61" s="66">
        <f t="shared" si="13"/>
        <v>0</v>
      </c>
      <c r="S61" s="61">
        <f t="shared" si="13"/>
        <v>0</v>
      </c>
      <c r="T61" s="66">
        <f t="shared" si="13"/>
        <v>0</v>
      </c>
      <c r="U61" s="66">
        <f t="shared" si="13"/>
        <v>0</v>
      </c>
      <c r="V61" s="66">
        <f t="shared" si="13"/>
        <v>0</v>
      </c>
      <c r="W61" s="61">
        <f t="shared" si="13"/>
        <v>0</v>
      </c>
      <c r="X61" s="66">
        <f t="shared" si="13"/>
        <v>0</v>
      </c>
      <c r="Y61" s="66">
        <f t="shared" si="13"/>
        <v>0</v>
      </c>
      <c r="Z61" s="66">
        <f t="shared" si="13"/>
        <v>0</v>
      </c>
      <c r="AA61" s="61">
        <f t="shared" si="13"/>
        <v>0</v>
      </c>
      <c r="AB61" s="66">
        <f t="shared" si="13"/>
        <v>0</v>
      </c>
      <c r="AC61" s="66">
        <f t="shared" si="13"/>
        <v>0</v>
      </c>
      <c r="AD61" s="66">
        <f t="shared" si="13"/>
        <v>0</v>
      </c>
      <c r="AE61" s="61">
        <f t="shared" si="13"/>
        <v>0</v>
      </c>
      <c r="AF61" s="68">
        <f t="shared" si="0"/>
        <v>0</v>
      </c>
    </row>
    <row r="62" spans="1:32" hidden="1" x14ac:dyDescent="0.35">
      <c r="A62" s="59" t="s">
        <v>256</v>
      </c>
      <c r="B62" s="54">
        <v>25</v>
      </c>
      <c r="C62" s="60" t="s">
        <v>225</v>
      </c>
      <c r="D62" s="60">
        <v>4</v>
      </c>
      <c r="E62" s="60"/>
      <c r="F62" s="60"/>
      <c r="G62" s="61">
        <f>SUM(D62:F62)</f>
        <v>4</v>
      </c>
      <c r="H62" s="60"/>
      <c r="I62" s="60"/>
      <c r="J62" s="60"/>
      <c r="K62" s="61">
        <f>SUM(H62:J62)</f>
        <v>0</v>
      </c>
      <c r="L62" s="60">
        <v>3</v>
      </c>
      <c r="M62" s="60"/>
      <c r="N62" s="60"/>
      <c r="O62" s="61">
        <f>SUM(L62:N62)</f>
        <v>3</v>
      </c>
      <c r="P62" s="60"/>
      <c r="Q62" s="60"/>
      <c r="R62" s="60"/>
      <c r="S62" s="61">
        <f>SUM(P62:R62)</f>
        <v>0</v>
      </c>
      <c r="T62" s="60"/>
      <c r="U62" s="60"/>
      <c r="V62" s="60"/>
      <c r="W62" s="61">
        <f>SUM(T62:V62)</f>
        <v>0</v>
      </c>
      <c r="X62" s="60">
        <v>2</v>
      </c>
      <c r="Y62" s="60"/>
      <c r="Z62" s="60"/>
      <c r="AA62" s="61">
        <f>SUM(X62:Z62)</f>
        <v>2</v>
      </c>
      <c r="AB62" s="60"/>
      <c r="AC62" s="60"/>
      <c r="AD62" s="60"/>
      <c r="AE62" s="61">
        <f>SUM(AB62:AD62)</f>
        <v>0</v>
      </c>
      <c r="AF62" s="62">
        <f t="shared" si="0"/>
        <v>9</v>
      </c>
    </row>
    <row r="63" spans="1:32" hidden="1" x14ac:dyDescent="0.35">
      <c r="A63" s="112" t="s">
        <v>257</v>
      </c>
      <c r="C63" s="63" t="s">
        <v>227</v>
      </c>
      <c r="D63" s="63">
        <v>22</v>
      </c>
      <c r="E63" s="63"/>
      <c r="F63" s="63"/>
      <c r="G63" s="61">
        <f>SUM(D63:F63)</f>
        <v>22</v>
      </c>
      <c r="H63" s="63"/>
      <c r="I63" s="63"/>
      <c r="J63" s="63"/>
      <c r="K63" s="61">
        <f>SUM(H63:J63)</f>
        <v>0</v>
      </c>
      <c r="L63" s="63">
        <v>5</v>
      </c>
      <c r="M63" s="63"/>
      <c r="N63" s="63"/>
      <c r="O63" s="61">
        <f>SUM(L63:N63)</f>
        <v>5</v>
      </c>
      <c r="P63" s="63"/>
      <c r="Q63" s="63"/>
      <c r="R63" s="63"/>
      <c r="S63" s="61">
        <f>SUM(P63:R63)</f>
        <v>0</v>
      </c>
      <c r="T63" s="63"/>
      <c r="U63" s="63"/>
      <c r="V63" s="63"/>
      <c r="W63" s="61">
        <f>SUM(T63:V63)</f>
        <v>0</v>
      </c>
      <c r="X63" s="63">
        <v>1</v>
      </c>
      <c r="Y63" s="63"/>
      <c r="Z63" s="63"/>
      <c r="AA63" s="61">
        <f>SUM(X63:Z63)</f>
        <v>1</v>
      </c>
      <c r="AB63" s="63"/>
      <c r="AC63" s="63"/>
      <c r="AD63" s="63"/>
      <c r="AE63" s="61">
        <f>SUM(AB63:AD63)</f>
        <v>0</v>
      </c>
      <c r="AF63" s="64">
        <f t="shared" si="0"/>
        <v>28</v>
      </c>
    </row>
    <row r="64" spans="1:32" hidden="1" x14ac:dyDescent="0.35">
      <c r="A64" s="112"/>
      <c r="C64" s="60" t="s">
        <v>228</v>
      </c>
      <c r="D64" s="60">
        <v>7</v>
      </c>
      <c r="E64" s="60"/>
      <c r="F64" s="60"/>
      <c r="G64" s="61">
        <f>SUM(D64:F64)</f>
        <v>7</v>
      </c>
      <c r="H64" s="60">
        <v>1</v>
      </c>
      <c r="I64" s="60"/>
      <c r="J64" s="60"/>
      <c r="K64" s="61">
        <f>SUM(H64:J64)</f>
        <v>1</v>
      </c>
      <c r="L64" s="60">
        <v>3</v>
      </c>
      <c r="M64" s="60"/>
      <c r="N64" s="60"/>
      <c r="O64" s="61">
        <f>SUM(L64:N64)</f>
        <v>3</v>
      </c>
      <c r="P64" s="60"/>
      <c r="Q64" s="60"/>
      <c r="R64" s="60"/>
      <c r="S64" s="61">
        <f>SUM(P64:R64)</f>
        <v>0</v>
      </c>
      <c r="T64" s="60"/>
      <c r="U64" s="60"/>
      <c r="V64" s="60"/>
      <c r="W64" s="61">
        <f>SUM(T64:V64)</f>
        <v>0</v>
      </c>
      <c r="X64" s="60">
        <v>2</v>
      </c>
      <c r="Y64" s="60"/>
      <c r="Z64" s="60"/>
      <c r="AA64" s="61">
        <f>SUM(X64:Z64)</f>
        <v>2</v>
      </c>
      <c r="AB64" s="60"/>
      <c r="AC64" s="60"/>
      <c r="AD64" s="60"/>
      <c r="AE64" s="61">
        <f>SUM(AB64:AD64)</f>
        <v>0</v>
      </c>
      <c r="AF64" s="65">
        <f t="shared" si="0"/>
        <v>13</v>
      </c>
    </row>
    <row r="65" spans="1:32" hidden="1" x14ac:dyDescent="0.35">
      <c r="C65" s="63" t="s">
        <v>235</v>
      </c>
      <c r="D65" s="63">
        <v>7</v>
      </c>
      <c r="E65" s="63"/>
      <c r="F65" s="63"/>
      <c r="G65" s="61">
        <f>SUM(D65:F65)</f>
        <v>7</v>
      </c>
      <c r="H65" s="63"/>
      <c r="I65" s="63"/>
      <c r="J65" s="63"/>
      <c r="K65" s="61">
        <f>SUM(H65:J65)</f>
        <v>0</v>
      </c>
      <c r="L65" s="63">
        <v>4</v>
      </c>
      <c r="M65" s="63"/>
      <c r="N65" s="63"/>
      <c r="O65" s="61">
        <f>SUM(L65:N65)</f>
        <v>4</v>
      </c>
      <c r="P65" s="63"/>
      <c r="Q65" s="63"/>
      <c r="R65" s="63"/>
      <c r="S65" s="61">
        <f>SUM(P65:R65)</f>
        <v>0</v>
      </c>
      <c r="T65" s="63"/>
      <c r="U65" s="63"/>
      <c r="V65" s="63"/>
      <c r="W65" s="61">
        <f>SUM(T65:V65)</f>
        <v>0</v>
      </c>
      <c r="X65" s="63">
        <v>2</v>
      </c>
      <c r="Y65" s="63"/>
      <c r="Z65" s="63"/>
      <c r="AA65" s="61">
        <f>SUM(X65:Z65)</f>
        <v>2</v>
      </c>
      <c r="AB65" s="63"/>
      <c r="AC65" s="63"/>
      <c r="AD65" s="63"/>
      <c r="AE65" s="61">
        <f>SUM(AB65:AD65)</f>
        <v>0</v>
      </c>
      <c r="AF65" s="63">
        <f t="shared" si="0"/>
        <v>13</v>
      </c>
    </row>
    <row r="66" spans="1:32" x14ac:dyDescent="0.35">
      <c r="A66" s="66" t="s">
        <v>258</v>
      </c>
      <c r="B66" s="67">
        <v>25</v>
      </c>
      <c r="C66" s="66"/>
      <c r="D66" s="66">
        <f t="shared" ref="D66:AE66" si="14">SUM(D62:D65)</f>
        <v>40</v>
      </c>
      <c r="E66" s="66">
        <f t="shared" si="14"/>
        <v>0</v>
      </c>
      <c r="F66" s="66">
        <f t="shared" si="14"/>
        <v>0</v>
      </c>
      <c r="G66" s="61">
        <f t="shared" si="14"/>
        <v>40</v>
      </c>
      <c r="H66" s="66">
        <f t="shared" si="14"/>
        <v>1</v>
      </c>
      <c r="I66" s="66">
        <f t="shared" si="14"/>
        <v>0</v>
      </c>
      <c r="J66" s="66">
        <f t="shared" si="14"/>
        <v>0</v>
      </c>
      <c r="K66" s="61">
        <f t="shared" si="14"/>
        <v>1</v>
      </c>
      <c r="L66" s="66">
        <f t="shared" si="14"/>
        <v>15</v>
      </c>
      <c r="M66" s="66">
        <f t="shared" si="14"/>
        <v>0</v>
      </c>
      <c r="N66" s="66">
        <f t="shared" si="14"/>
        <v>0</v>
      </c>
      <c r="O66" s="61">
        <f t="shared" si="14"/>
        <v>15</v>
      </c>
      <c r="P66" s="66">
        <f t="shared" si="14"/>
        <v>0</v>
      </c>
      <c r="Q66" s="66">
        <f t="shared" si="14"/>
        <v>0</v>
      </c>
      <c r="R66" s="66">
        <f t="shared" si="14"/>
        <v>0</v>
      </c>
      <c r="S66" s="61">
        <f t="shared" si="14"/>
        <v>0</v>
      </c>
      <c r="T66" s="66">
        <f t="shared" si="14"/>
        <v>0</v>
      </c>
      <c r="U66" s="66">
        <f t="shared" si="14"/>
        <v>0</v>
      </c>
      <c r="V66" s="66">
        <f t="shared" si="14"/>
        <v>0</v>
      </c>
      <c r="W66" s="61">
        <f t="shared" si="14"/>
        <v>0</v>
      </c>
      <c r="X66" s="66">
        <f t="shared" si="14"/>
        <v>7</v>
      </c>
      <c r="Y66" s="66">
        <f t="shared" si="14"/>
        <v>0</v>
      </c>
      <c r="Z66" s="66">
        <f t="shared" si="14"/>
        <v>0</v>
      </c>
      <c r="AA66" s="61">
        <f t="shared" si="14"/>
        <v>7</v>
      </c>
      <c r="AB66" s="66">
        <f t="shared" si="14"/>
        <v>0</v>
      </c>
      <c r="AC66" s="66">
        <f t="shared" si="14"/>
        <v>0</v>
      </c>
      <c r="AD66" s="66">
        <f t="shared" si="14"/>
        <v>0</v>
      </c>
      <c r="AE66" s="61">
        <f t="shared" si="14"/>
        <v>0</v>
      </c>
      <c r="AF66" s="68">
        <f t="shared" si="0"/>
        <v>63</v>
      </c>
    </row>
    <row r="67" spans="1:32" hidden="1" x14ac:dyDescent="0.35">
      <c r="A67" s="59" t="s">
        <v>259</v>
      </c>
      <c r="C67" s="60" t="s">
        <v>225</v>
      </c>
      <c r="D67" s="60">
        <v>2</v>
      </c>
      <c r="E67" s="60"/>
      <c r="F67" s="60"/>
      <c r="G67" s="61">
        <f>SUM(D67:F67)</f>
        <v>2</v>
      </c>
      <c r="H67" s="60"/>
      <c r="I67" s="60"/>
      <c r="J67" s="60"/>
      <c r="K67" s="61">
        <f>SUM(H67:J67)</f>
        <v>0</v>
      </c>
      <c r="L67" s="60"/>
      <c r="M67" s="60"/>
      <c r="N67" s="60"/>
      <c r="O67" s="61">
        <f>SUM(L67:N67)</f>
        <v>0</v>
      </c>
      <c r="P67" s="60"/>
      <c r="Q67" s="60"/>
      <c r="R67" s="60"/>
      <c r="S67" s="61">
        <f>SUM(P67:R67)</f>
        <v>0</v>
      </c>
      <c r="T67" s="60"/>
      <c r="U67" s="60"/>
      <c r="V67" s="60"/>
      <c r="W67" s="61">
        <f>SUM(T67:V67)</f>
        <v>0</v>
      </c>
      <c r="X67" s="60"/>
      <c r="Y67" s="60"/>
      <c r="Z67" s="60"/>
      <c r="AA67" s="61">
        <f>SUM(X67:Z67)</f>
        <v>0</v>
      </c>
      <c r="AB67" s="60"/>
      <c r="AC67" s="60"/>
      <c r="AD67" s="60"/>
      <c r="AE67" s="61">
        <f>SUM(AB67:AD67)</f>
        <v>0</v>
      </c>
      <c r="AF67" s="62">
        <f t="shared" si="0"/>
        <v>2</v>
      </c>
    </row>
    <row r="68" spans="1:32" ht="15" hidden="1" customHeight="1" x14ac:dyDescent="0.35">
      <c r="A68" s="72" t="s">
        <v>260</v>
      </c>
      <c r="C68" s="63" t="s">
        <v>227</v>
      </c>
      <c r="D68" s="63">
        <v>3</v>
      </c>
      <c r="E68" s="63"/>
      <c r="F68" s="63"/>
      <c r="G68" s="61">
        <f>SUM(D68:F68)</f>
        <v>3</v>
      </c>
      <c r="H68" s="63"/>
      <c r="I68" s="63"/>
      <c r="J68" s="63"/>
      <c r="K68" s="61">
        <f>SUM(H68:J68)</f>
        <v>0</v>
      </c>
      <c r="L68" s="63"/>
      <c r="M68" s="63"/>
      <c r="N68" s="63"/>
      <c r="O68" s="61">
        <f>SUM(L68:N68)</f>
        <v>0</v>
      </c>
      <c r="P68" s="63"/>
      <c r="Q68" s="63"/>
      <c r="R68" s="63"/>
      <c r="S68" s="61">
        <f>SUM(P68:R68)</f>
        <v>0</v>
      </c>
      <c r="T68" s="63"/>
      <c r="U68" s="63"/>
      <c r="V68" s="63"/>
      <c r="W68" s="61">
        <f>SUM(T68:V68)</f>
        <v>0</v>
      </c>
      <c r="X68" s="63">
        <v>1</v>
      </c>
      <c r="Y68" s="63"/>
      <c r="Z68" s="63"/>
      <c r="AA68" s="61">
        <f>SUM(X68:Z68)</f>
        <v>1</v>
      </c>
      <c r="AB68" s="63"/>
      <c r="AC68" s="63"/>
      <c r="AD68" s="63"/>
      <c r="AE68" s="61">
        <f>SUM(AB68:AD68)</f>
        <v>0</v>
      </c>
      <c r="AF68" s="64">
        <f t="shared" ref="AF68:AF131" si="15">SUM(G68,K68,O68,S68,W68,AA68,AE68)</f>
        <v>4</v>
      </c>
    </row>
    <row r="69" spans="1:32" hidden="1" x14ac:dyDescent="0.35">
      <c r="A69" s="72"/>
      <c r="C69" s="60" t="s">
        <v>228</v>
      </c>
      <c r="D69" s="60">
        <v>1</v>
      </c>
      <c r="E69" s="60"/>
      <c r="F69" s="60"/>
      <c r="G69" s="61">
        <f>SUM(D69:F69)</f>
        <v>1</v>
      </c>
      <c r="H69" s="60"/>
      <c r="I69" s="60"/>
      <c r="J69" s="60"/>
      <c r="K69" s="61">
        <f>SUM(H69:J69)</f>
        <v>0</v>
      </c>
      <c r="L69" s="60">
        <v>1</v>
      </c>
      <c r="M69" s="60"/>
      <c r="N69" s="60"/>
      <c r="O69" s="61">
        <f>SUM(L69:N69)</f>
        <v>1</v>
      </c>
      <c r="P69" s="60"/>
      <c r="Q69" s="60"/>
      <c r="R69" s="60"/>
      <c r="S69" s="61">
        <f>SUM(P69:R69)</f>
        <v>0</v>
      </c>
      <c r="T69" s="60"/>
      <c r="U69" s="60"/>
      <c r="V69" s="60"/>
      <c r="W69" s="61">
        <f>SUM(T69:V69)</f>
        <v>0</v>
      </c>
      <c r="X69" s="60">
        <v>1</v>
      </c>
      <c r="Y69" s="60"/>
      <c r="Z69" s="60"/>
      <c r="AA69" s="61">
        <f>SUM(X69:Z69)</f>
        <v>1</v>
      </c>
      <c r="AB69" s="60">
        <v>1</v>
      </c>
      <c r="AC69" s="60"/>
      <c r="AD69" s="60"/>
      <c r="AE69" s="61">
        <f>SUM(AB69:AD69)</f>
        <v>1</v>
      </c>
      <c r="AF69" s="65">
        <f t="shared" si="15"/>
        <v>4</v>
      </c>
    </row>
    <row r="70" spans="1:32" hidden="1" x14ac:dyDescent="0.35">
      <c r="C70" s="63" t="s">
        <v>235</v>
      </c>
      <c r="D70" s="63">
        <v>3</v>
      </c>
      <c r="E70" s="63"/>
      <c r="F70" s="63"/>
      <c r="G70" s="61">
        <f>SUM(D70:F70)</f>
        <v>3</v>
      </c>
      <c r="H70" s="63"/>
      <c r="I70" s="63"/>
      <c r="J70" s="63"/>
      <c r="K70" s="61">
        <f>SUM(H70:J70)</f>
        <v>0</v>
      </c>
      <c r="L70" s="63">
        <v>4</v>
      </c>
      <c r="M70" s="63"/>
      <c r="N70" s="63"/>
      <c r="O70" s="61">
        <f>SUM(L70:N70)</f>
        <v>4</v>
      </c>
      <c r="P70" s="63"/>
      <c r="Q70" s="63"/>
      <c r="R70" s="63"/>
      <c r="S70" s="61">
        <f>SUM(P70:R70)</f>
        <v>0</v>
      </c>
      <c r="T70" s="63"/>
      <c r="U70" s="63"/>
      <c r="V70" s="63"/>
      <c r="W70" s="61">
        <f>SUM(T70:V70)</f>
        <v>0</v>
      </c>
      <c r="X70" s="63">
        <v>2</v>
      </c>
      <c r="Y70" s="63"/>
      <c r="Z70" s="63"/>
      <c r="AA70" s="61">
        <f>SUM(X70:Z70)</f>
        <v>2</v>
      </c>
      <c r="AB70" s="63">
        <v>2</v>
      </c>
      <c r="AC70" s="63"/>
      <c r="AD70" s="63"/>
      <c r="AE70" s="61">
        <f>SUM(AB70:AD70)</f>
        <v>2</v>
      </c>
      <c r="AF70" s="63">
        <f t="shared" si="15"/>
        <v>11</v>
      </c>
    </row>
    <row r="71" spans="1:32" x14ac:dyDescent="0.35">
      <c r="A71" s="66" t="s">
        <v>259</v>
      </c>
      <c r="B71" s="67" t="s">
        <v>261</v>
      </c>
      <c r="C71" s="66"/>
      <c r="D71" s="66">
        <f t="shared" ref="D71:AE71" si="16">SUM(D67:D70)</f>
        <v>9</v>
      </c>
      <c r="E71" s="66">
        <f t="shared" si="16"/>
        <v>0</v>
      </c>
      <c r="F71" s="66">
        <f t="shared" si="16"/>
        <v>0</v>
      </c>
      <c r="G71" s="61">
        <f t="shared" si="16"/>
        <v>9</v>
      </c>
      <c r="H71" s="66">
        <f t="shared" si="16"/>
        <v>0</v>
      </c>
      <c r="I71" s="66">
        <f t="shared" si="16"/>
        <v>0</v>
      </c>
      <c r="J71" s="66">
        <f t="shared" si="16"/>
        <v>0</v>
      </c>
      <c r="K71" s="61">
        <f t="shared" si="16"/>
        <v>0</v>
      </c>
      <c r="L71" s="66">
        <f t="shared" si="16"/>
        <v>5</v>
      </c>
      <c r="M71" s="66">
        <f t="shared" si="16"/>
        <v>0</v>
      </c>
      <c r="N71" s="66">
        <f t="shared" si="16"/>
        <v>0</v>
      </c>
      <c r="O71" s="61">
        <f t="shared" si="16"/>
        <v>5</v>
      </c>
      <c r="P71" s="66">
        <f t="shared" si="16"/>
        <v>0</v>
      </c>
      <c r="Q71" s="66">
        <f t="shared" si="16"/>
        <v>0</v>
      </c>
      <c r="R71" s="66">
        <f t="shared" si="16"/>
        <v>0</v>
      </c>
      <c r="S71" s="61">
        <f t="shared" si="16"/>
        <v>0</v>
      </c>
      <c r="T71" s="66">
        <f t="shared" si="16"/>
        <v>0</v>
      </c>
      <c r="U71" s="66">
        <f t="shared" si="16"/>
        <v>0</v>
      </c>
      <c r="V71" s="66">
        <f t="shared" si="16"/>
        <v>0</v>
      </c>
      <c r="W71" s="61">
        <f t="shared" si="16"/>
        <v>0</v>
      </c>
      <c r="X71" s="66">
        <f t="shared" si="16"/>
        <v>4</v>
      </c>
      <c r="Y71" s="66">
        <f t="shared" si="16"/>
        <v>0</v>
      </c>
      <c r="Z71" s="66">
        <f t="shared" si="16"/>
        <v>0</v>
      </c>
      <c r="AA71" s="61">
        <f t="shared" si="16"/>
        <v>4</v>
      </c>
      <c r="AB71" s="66">
        <f t="shared" si="16"/>
        <v>3</v>
      </c>
      <c r="AC71" s="66">
        <f t="shared" si="16"/>
        <v>0</v>
      </c>
      <c r="AD71" s="66">
        <f t="shared" si="16"/>
        <v>0</v>
      </c>
      <c r="AE71" s="61">
        <f t="shared" si="16"/>
        <v>3</v>
      </c>
      <c r="AF71" s="68">
        <f t="shared" si="15"/>
        <v>21</v>
      </c>
    </row>
    <row r="72" spans="1:32" hidden="1" x14ac:dyDescent="0.35">
      <c r="A72" s="59" t="s">
        <v>262</v>
      </c>
      <c r="B72" s="54">
        <v>30</v>
      </c>
      <c r="C72" s="60" t="s">
        <v>225</v>
      </c>
      <c r="D72" s="60"/>
      <c r="E72" s="60"/>
      <c r="F72" s="60"/>
      <c r="G72" s="61">
        <f>SUM(D72:F72)</f>
        <v>0</v>
      </c>
      <c r="H72" s="60"/>
      <c r="I72" s="60"/>
      <c r="J72" s="60"/>
      <c r="K72" s="61">
        <f>SUM(H72:J72)</f>
        <v>0</v>
      </c>
      <c r="L72" s="60"/>
      <c r="M72" s="60"/>
      <c r="N72" s="60"/>
      <c r="O72" s="61">
        <f>SUM(L72:N72)</f>
        <v>0</v>
      </c>
      <c r="P72" s="60"/>
      <c r="Q72" s="60"/>
      <c r="R72" s="60"/>
      <c r="S72" s="61">
        <f>SUM(P72:R72)</f>
        <v>0</v>
      </c>
      <c r="T72" s="60"/>
      <c r="U72" s="60"/>
      <c r="V72" s="60"/>
      <c r="W72" s="61">
        <f>SUM(T72:V72)</f>
        <v>0</v>
      </c>
      <c r="X72" s="60"/>
      <c r="Y72" s="60"/>
      <c r="Z72" s="60"/>
      <c r="AA72" s="61">
        <f>SUM(X72:Z72)</f>
        <v>0</v>
      </c>
      <c r="AB72" s="60"/>
      <c r="AC72" s="60"/>
      <c r="AD72" s="60"/>
      <c r="AE72" s="61">
        <f>SUM(AB72:AD72)</f>
        <v>0</v>
      </c>
      <c r="AF72" s="62">
        <f t="shared" si="15"/>
        <v>0</v>
      </c>
    </row>
    <row r="73" spans="1:32" ht="15" hidden="1" customHeight="1" x14ac:dyDescent="0.35">
      <c r="A73" s="112" t="s">
        <v>263</v>
      </c>
      <c r="C73" s="63" t="s">
        <v>227</v>
      </c>
      <c r="D73" s="63"/>
      <c r="E73" s="63"/>
      <c r="F73" s="63"/>
      <c r="G73" s="61">
        <f>SUM(D73:F73)</f>
        <v>0</v>
      </c>
      <c r="H73" s="63"/>
      <c r="I73" s="63"/>
      <c r="J73" s="63"/>
      <c r="K73" s="61">
        <f>SUM(H73:J73)</f>
        <v>0</v>
      </c>
      <c r="L73" s="63"/>
      <c r="M73" s="63"/>
      <c r="N73" s="63"/>
      <c r="O73" s="61">
        <f>SUM(L73:N73)</f>
        <v>0</v>
      </c>
      <c r="P73" s="63"/>
      <c r="Q73" s="63"/>
      <c r="R73" s="63"/>
      <c r="S73" s="61">
        <f>SUM(P73:R73)</f>
        <v>0</v>
      </c>
      <c r="T73" s="63"/>
      <c r="U73" s="63"/>
      <c r="V73" s="63"/>
      <c r="W73" s="61">
        <f>SUM(T73:V73)</f>
        <v>0</v>
      </c>
      <c r="X73" s="63"/>
      <c r="Y73" s="63"/>
      <c r="Z73" s="63"/>
      <c r="AA73" s="61">
        <f>SUM(X73:Z73)</f>
        <v>0</v>
      </c>
      <c r="AB73" s="63"/>
      <c r="AC73" s="63"/>
      <c r="AD73" s="63"/>
      <c r="AE73" s="61">
        <f>SUM(AB73:AD73)</f>
        <v>0</v>
      </c>
      <c r="AF73" s="64">
        <f t="shared" si="15"/>
        <v>0</v>
      </c>
    </row>
    <row r="74" spans="1:32" hidden="1" x14ac:dyDescent="0.35">
      <c r="A74" s="112"/>
      <c r="C74" s="60" t="s">
        <v>228</v>
      </c>
      <c r="D74" s="60"/>
      <c r="E74" s="60"/>
      <c r="F74" s="60"/>
      <c r="G74" s="61">
        <f>SUM(D74:F74)</f>
        <v>0</v>
      </c>
      <c r="H74" s="60"/>
      <c r="I74" s="60"/>
      <c r="J74" s="60"/>
      <c r="K74" s="61">
        <f>SUM(H74:J74)</f>
        <v>0</v>
      </c>
      <c r="L74" s="60"/>
      <c r="M74" s="60"/>
      <c r="N74" s="60"/>
      <c r="O74" s="61">
        <f>SUM(L74:N74)</f>
        <v>0</v>
      </c>
      <c r="P74" s="60"/>
      <c r="Q74" s="60"/>
      <c r="R74" s="60"/>
      <c r="S74" s="61">
        <f>SUM(P74:R74)</f>
        <v>0</v>
      </c>
      <c r="T74" s="60"/>
      <c r="U74" s="60"/>
      <c r="V74" s="60"/>
      <c r="W74" s="61">
        <f>SUM(T74:V74)</f>
        <v>0</v>
      </c>
      <c r="X74" s="60"/>
      <c r="Y74" s="60"/>
      <c r="Z74" s="60"/>
      <c r="AA74" s="61">
        <f>SUM(X74:Z74)</f>
        <v>0</v>
      </c>
      <c r="AB74" s="60"/>
      <c r="AC74" s="60"/>
      <c r="AD74" s="60"/>
      <c r="AE74" s="61">
        <f>SUM(AB74:AD74)</f>
        <v>0</v>
      </c>
      <c r="AF74" s="65">
        <f t="shared" si="15"/>
        <v>0</v>
      </c>
    </row>
    <row r="75" spans="1:32" hidden="1" x14ac:dyDescent="0.35">
      <c r="C75" s="63" t="s">
        <v>235</v>
      </c>
      <c r="D75" s="63"/>
      <c r="E75" s="63"/>
      <c r="F75" s="63"/>
      <c r="G75" s="61">
        <f>SUM(D75:F75)</f>
        <v>0</v>
      </c>
      <c r="H75" s="63"/>
      <c r="I75" s="63"/>
      <c r="J75" s="63"/>
      <c r="K75" s="61">
        <f>SUM(H75:J75)</f>
        <v>0</v>
      </c>
      <c r="L75" s="63"/>
      <c r="M75" s="63"/>
      <c r="N75" s="63"/>
      <c r="O75" s="61">
        <f>SUM(L75:N75)</f>
        <v>0</v>
      </c>
      <c r="P75" s="63"/>
      <c r="Q75" s="63"/>
      <c r="R75" s="63"/>
      <c r="S75" s="61">
        <f>SUM(P75:R75)</f>
        <v>0</v>
      </c>
      <c r="T75" s="63"/>
      <c r="U75" s="63"/>
      <c r="V75" s="63"/>
      <c r="W75" s="61">
        <f>SUM(T75:V75)</f>
        <v>0</v>
      </c>
      <c r="X75" s="63"/>
      <c r="Y75" s="63"/>
      <c r="Z75" s="63"/>
      <c r="AA75" s="61">
        <f>SUM(X75:Z75)</f>
        <v>0</v>
      </c>
      <c r="AB75" s="63"/>
      <c r="AC75" s="63"/>
      <c r="AD75" s="63"/>
      <c r="AE75" s="61">
        <f>SUM(AB75:AD75)</f>
        <v>0</v>
      </c>
      <c r="AF75" s="63">
        <f t="shared" si="15"/>
        <v>0</v>
      </c>
    </row>
    <row r="76" spans="1:32" x14ac:dyDescent="0.35">
      <c r="A76" s="66" t="s">
        <v>262</v>
      </c>
      <c r="B76" s="67">
        <v>30</v>
      </c>
      <c r="C76" s="66"/>
      <c r="D76" s="66">
        <f t="shared" ref="D76:AE76" si="17">SUM(D72:D75)</f>
        <v>0</v>
      </c>
      <c r="E76" s="66">
        <f t="shared" si="17"/>
        <v>0</v>
      </c>
      <c r="F76" s="66">
        <f t="shared" si="17"/>
        <v>0</v>
      </c>
      <c r="G76" s="61">
        <f t="shared" si="17"/>
        <v>0</v>
      </c>
      <c r="H76" s="66">
        <f t="shared" si="17"/>
        <v>0</v>
      </c>
      <c r="I76" s="66">
        <f t="shared" si="17"/>
        <v>0</v>
      </c>
      <c r="J76" s="66">
        <f t="shared" si="17"/>
        <v>0</v>
      </c>
      <c r="K76" s="61">
        <f t="shared" si="17"/>
        <v>0</v>
      </c>
      <c r="L76" s="66">
        <f t="shared" si="17"/>
        <v>0</v>
      </c>
      <c r="M76" s="66">
        <f t="shared" si="17"/>
        <v>0</v>
      </c>
      <c r="N76" s="66">
        <f t="shared" si="17"/>
        <v>0</v>
      </c>
      <c r="O76" s="61">
        <f t="shared" si="17"/>
        <v>0</v>
      </c>
      <c r="P76" s="66">
        <f t="shared" si="17"/>
        <v>0</v>
      </c>
      <c r="Q76" s="66">
        <f t="shared" si="17"/>
        <v>0</v>
      </c>
      <c r="R76" s="66">
        <f t="shared" si="17"/>
        <v>0</v>
      </c>
      <c r="S76" s="61">
        <f t="shared" si="17"/>
        <v>0</v>
      </c>
      <c r="T76" s="66">
        <f t="shared" si="17"/>
        <v>0</v>
      </c>
      <c r="U76" s="66">
        <f t="shared" si="17"/>
        <v>0</v>
      </c>
      <c r="V76" s="66">
        <f t="shared" si="17"/>
        <v>0</v>
      </c>
      <c r="W76" s="61">
        <f t="shared" si="17"/>
        <v>0</v>
      </c>
      <c r="X76" s="66">
        <f t="shared" si="17"/>
        <v>0</v>
      </c>
      <c r="Y76" s="66">
        <f t="shared" si="17"/>
        <v>0</v>
      </c>
      <c r="Z76" s="66">
        <f t="shared" si="17"/>
        <v>0</v>
      </c>
      <c r="AA76" s="61">
        <f t="shared" si="17"/>
        <v>0</v>
      </c>
      <c r="AB76" s="66">
        <f t="shared" si="17"/>
        <v>0</v>
      </c>
      <c r="AC76" s="66">
        <f t="shared" si="17"/>
        <v>0</v>
      </c>
      <c r="AD76" s="66">
        <f t="shared" si="17"/>
        <v>0</v>
      </c>
      <c r="AE76" s="61">
        <f t="shared" si="17"/>
        <v>0</v>
      </c>
      <c r="AF76" s="68">
        <f t="shared" si="15"/>
        <v>0</v>
      </c>
    </row>
    <row r="77" spans="1:32" hidden="1" x14ac:dyDescent="0.35">
      <c r="A77" s="59" t="s">
        <v>264</v>
      </c>
      <c r="B77" s="54">
        <v>30</v>
      </c>
      <c r="C77" s="60" t="s">
        <v>225</v>
      </c>
      <c r="D77" s="60"/>
      <c r="E77" s="60"/>
      <c r="F77" s="60"/>
      <c r="G77" s="61">
        <f>SUM(D77:F77)</f>
        <v>0</v>
      </c>
      <c r="H77" s="60"/>
      <c r="I77" s="60"/>
      <c r="J77" s="60"/>
      <c r="K77" s="61">
        <f>SUM(H77:J77)</f>
        <v>0</v>
      </c>
      <c r="L77" s="60"/>
      <c r="M77" s="60"/>
      <c r="N77" s="60"/>
      <c r="O77" s="61">
        <f>SUM(L77:N77)</f>
        <v>0</v>
      </c>
      <c r="P77" s="60"/>
      <c r="Q77" s="60"/>
      <c r="R77" s="60"/>
      <c r="S77" s="61">
        <f>SUM(P77:R77)</f>
        <v>0</v>
      </c>
      <c r="T77" s="60"/>
      <c r="U77" s="60"/>
      <c r="V77" s="60"/>
      <c r="W77" s="61">
        <f>SUM(T77:V77)</f>
        <v>0</v>
      </c>
      <c r="X77" s="60"/>
      <c r="Y77" s="60"/>
      <c r="Z77" s="60"/>
      <c r="AA77" s="61">
        <f>SUM(X77:Z77)</f>
        <v>0</v>
      </c>
      <c r="AB77" s="60"/>
      <c r="AC77" s="60"/>
      <c r="AD77" s="60"/>
      <c r="AE77" s="61">
        <f>SUM(AB77:AD77)</f>
        <v>0</v>
      </c>
      <c r="AF77" s="62">
        <f t="shared" si="15"/>
        <v>0</v>
      </c>
    </row>
    <row r="78" spans="1:32" hidden="1" x14ac:dyDescent="0.35">
      <c r="A78" s="112" t="s">
        <v>263</v>
      </c>
      <c r="C78" s="63" t="s">
        <v>227</v>
      </c>
      <c r="D78" s="63"/>
      <c r="E78" s="63"/>
      <c r="F78" s="63"/>
      <c r="G78" s="61">
        <f>SUM(D78:F78)</f>
        <v>0</v>
      </c>
      <c r="H78" s="63"/>
      <c r="I78" s="63"/>
      <c r="J78" s="63"/>
      <c r="K78" s="61">
        <f>SUM(H78:J78)</f>
        <v>0</v>
      </c>
      <c r="L78" s="63"/>
      <c r="M78" s="63"/>
      <c r="N78" s="63"/>
      <c r="O78" s="61">
        <f>SUM(L78:N78)</f>
        <v>0</v>
      </c>
      <c r="P78" s="63"/>
      <c r="Q78" s="63"/>
      <c r="R78" s="63"/>
      <c r="S78" s="61">
        <f>SUM(P78:R78)</f>
        <v>0</v>
      </c>
      <c r="T78" s="63"/>
      <c r="U78" s="63"/>
      <c r="V78" s="63"/>
      <c r="W78" s="61">
        <f>SUM(T78:V78)</f>
        <v>0</v>
      </c>
      <c r="X78" s="63"/>
      <c r="Y78" s="63"/>
      <c r="Z78" s="63"/>
      <c r="AA78" s="61">
        <f>SUM(X78:Z78)</f>
        <v>0</v>
      </c>
      <c r="AB78" s="63"/>
      <c r="AC78" s="63"/>
      <c r="AD78" s="63"/>
      <c r="AE78" s="61">
        <f>SUM(AB78:AD78)</f>
        <v>0</v>
      </c>
      <c r="AF78" s="64">
        <f t="shared" si="15"/>
        <v>0</v>
      </c>
    </row>
    <row r="79" spans="1:32" hidden="1" x14ac:dyDescent="0.35">
      <c r="A79" s="112"/>
      <c r="C79" s="60" t="s">
        <v>228</v>
      </c>
      <c r="D79" s="60"/>
      <c r="E79" s="60"/>
      <c r="F79" s="60"/>
      <c r="G79" s="61">
        <f>SUM(D79:F79)</f>
        <v>0</v>
      </c>
      <c r="H79" s="60"/>
      <c r="I79" s="60"/>
      <c r="J79" s="60"/>
      <c r="K79" s="61">
        <f>SUM(H79:J79)</f>
        <v>0</v>
      </c>
      <c r="L79" s="60"/>
      <c r="M79" s="60"/>
      <c r="N79" s="60"/>
      <c r="O79" s="61">
        <f>SUM(L79:N79)</f>
        <v>0</v>
      </c>
      <c r="P79" s="60"/>
      <c r="Q79" s="60"/>
      <c r="R79" s="60"/>
      <c r="S79" s="61">
        <f>SUM(P79:R79)</f>
        <v>0</v>
      </c>
      <c r="T79" s="60"/>
      <c r="U79" s="60"/>
      <c r="V79" s="60"/>
      <c r="W79" s="61">
        <f>SUM(T79:V79)</f>
        <v>0</v>
      </c>
      <c r="X79" s="60"/>
      <c r="Y79" s="60"/>
      <c r="Z79" s="60"/>
      <c r="AA79" s="61">
        <f>SUM(X79:Z79)</f>
        <v>0</v>
      </c>
      <c r="AB79" s="60"/>
      <c r="AC79" s="60"/>
      <c r="AD79" s="60"/>
      <c r="AE79" s="61">
        <f>SUM(AB79:AD79)</f>
        <v>0</v>
      </c>
      <c r="AF79" s="65">
        <f t="shared" si="15"/>
        <v>0</v>
      </c>
    </row>
    <row r="80" spans="1:32" hidden="1" x14ac:dyDescent="0.35">
      <c r="C80" s="63" t="s">
        <v>235</v>
      </c>
      <c r="D80" s="63"/>
      <c r="E80" s="63"/>
      <c r="F80" s="63"/>
      <c r="G80" s="61">
        <f>SUM(D80:F80)</f>
        <v>0</v>
      </c>
      <c r="H80" s="63"/>
      <c r="I80" s="63"/>
      <c r="J80" s="63"/>
      <c r="K80" s="61">
        <f>SUM(H80:J80)</f>
        <v>0</v>
      </c>
      <c r="L80" s="63"/>
      <c r="M80" s="63"/>
      <c r="N80" s="63"/>
      <c r="O80" s="61">
        <f>SUM(L80:N80)</f>
        <v>0</v>
      </c>
      <c r="P80" s="63"/>
      <c r="Q80" s="63"/>
      <c r="R80" s="63"/>
      <c r="S80" s="61">
        <f>SUM(P80:R80)</f>
        <v>0</v>
      </c>
      <c r="T80" s="63"/>
      <c r="U80" s="63"/>
      <c r="V80" s="63"/>
      <c r="W80" s="61">
        <f>SUM(T80:V80)</f>
        <v>0</v>
      </c>
      <c r="X80" s="63"/>
      <c r="Y80" s="63"/>
      <c r="Z80" s="63"/>
      <c r="AA80" s="61">
        <f>SUM(X80:Z80)</f>
        <v>0</v>
      </c>
      <c r="AB80" s="63"/>
      <c r="AC80" s="63"/>
      <c r="AD80" s="63"/>
      <c r="AE80" s="61">
        <f>SUM(AB80:AD80)</f>
        <v>0</v>
      </c>
      <c r="AF80" s="63">
        <f t="shared" si="15"/>
        <v>0</v>
      </c>
    </row>
    <row r="81" spans="1:32" x14ac:dyDescent="0.35">
      <c r="A81" s="66" t="s">
        <v>264</v>
      </c>
      <c r="B81" s="67">
        <v>30</v>
      </c>
      <c r="C81" s="66"/>
      <c r="D81" s="66">
        <f t="shared" ref="D81:AE81" si="18">SUM(D77:D80)</f>
        <v>0</v>
      </c>
      <c r="E81" s="66">
        <f t="shared" si="18"/>
        <v>0</v>
      </c>
      <c r="F81" s="66">
        <f t="shared" si="18"/>
        <v>0</v>
      </c>
      <c r="G81" s="61">
        <f t="shared" si="18"/>
        <v>0</v>
      </c>
      <c r="H81" s="66">
        <f t="shared" si="18"/>
        <v>0</v>
      </c>
      <c r="I81" s="66">
        <f t="shared" si="18"/>
        <v>0</v>
      </c>
      <c r="J81" s="66">
        <f t="shared" si="18"/>
        <v>0</v>
      </c>
      <c r="K81" s="61">
        <f t="shared" si="18"/>
        <v>0</v>
      </c>
      <c r="L81" s="66">
        <f t="shared" si="18"/>
        <v>0</v>
      </c>
      <c r="M81" s="66">
        <f t="shared" si="18"/>
        <v>0</v>
      </c>
      <c r="N81" s="66">
        <f t="shared" si="18"/>
        <v>0</v>
      </c>
      <c r="O81" s="61">
        <f t="shared" si="18"/>
        <v>0</v>
      </c>
      <c r="P81" s="66">
        <f t="shared" si="18"/>
        <v>0</v>
      </c>
      <c r="Q81" s="66">
        <f t="shared" si="18"/>
        <v>0</v>
      </c>
      <c r="R81" s="66">
        <f t="shared" si="18"/>
        <v>0</v>
      </c>
      <c r="S81" s="61">
        <f t="shared" si="18"/>
        <v>0</v>
      </c>
      <c r="T81" s="66">
        <f t="shared" si="18"/>
        <v>0</v>
      </c>
      <c r="U81" s="66">
        <f t="shared" si="18"/>
        <v>0</v>
      </c>
      <c r="V81" s="66">
        <f t="shared" si="18"/>
        <v>0</v>
      </c>
      <c r="W81" s="61">
        <f t="shared" si="18"/>
        <v>0</v>
      </c>
      <c r="X81" s="66">
        <f t="shared" si="18"/>
        <v>0</v>
      </c>
      <c r="Y81" s="66">
        <f t="shared" si="18"/>
        <v>0</v>
      </c>
      <c r="Z81" s="66">
        <f t="shared" si="18"/>
        <v>0</v>
      </c>
      <c r="AA81" s="61">
        <f t="shared" si="18"/>
        <v>0</v>
      </c>
      <c r="AB81" s="66">
        <f t="shared" si="18"/>
        <v>0</v>
      </c>
      <c r="AC81" s="66">
        <f t="shared" si="18"/>
        <v>0</v>
      </c>
      <c r="AD81" s="66">
        <f t="shared" si="18"/>
        <v>0</v>
      </c>
      <c r="AE81" s="61">
        <f t="shared" si="18"/>
        <v>0</v>
      </c>
      <c r="AF81" s="68">
        <f t="shared" si="15"/>
        <v>0</v>
      </c>
    </row>
    <row r="82" spans="1:32" hidden="1" x14ac:dyDescent="0.35">
      <c r="A82" s="59" t="s">
        <v>265</v>
      </c>
      <c r="B82" s="54" t="s">
        <v>266</v>
      </c>
      <c r="C82" s="60" t="s">
        <v>225</v>
      </c>
      <c r="D82" s="60">
        <v>7</v>
      </c>
      <c r="E82" s="60"/>
      <c r="F82" s="60"/>
      <c r="G82" s="61">
        <f>SUM(D82:F82)</f>
        <v>7</v>
      </c>
      <c r="H82" s="60"/>
      <c r="I82" s="60"/>
      <c r="J82" s="60"/>
      <c r="K82" s="61">
        <f>SUM(H82:J82)</f>
        <v>0</v>
      </c>
      <c r="L82" s="60">
        <v>2</v>
      </c>
      <c r="M82" s="60"/>
      <c r="N82" s="60"/>
      <c r="O82" s="61">
        <f>SUM(L82:N82)</f>
        <v>2</v>
      </c>
      <c r="P82" s="60"/>
      <c r="Q82" s="60"/>
      <c r="R82" s="60"/>
      <c r="S82" s="61">
        <f>SUM(P82:R82)</f>
        <v>0</v>
      </c>
      <c r="T82" s="60"/>
      <c r="U82" s="60"/>
      <c r="V82" s="60"/>
      <c r="W82" s="61">
        <f>SUM(T82:V82)</f>
        <v>0</v>
      </c>
      <c r="X82" s="60"/>
      <c r="Y82" s="60"/>
      <c r="Z82" s="60"/>
      <c r="AA82" s="61">
        <f>SUM(X82:Z82)</f>
        <v>0</v>
      </c>
      <c r="AB82" s="60"/>
      <c r="AC82" s="60"/>
      <c r="AD82" s="60"/>
      <c r="AE82" s="61">
        <f>SUM(AB82:AD82)</f>
        <v>0</v>
      </c>
      <c r="AF82" s="62">
        <f t="shared" si="15"/>
        <v>9</v>
      </c>
    </row>
    <row r="83" spans="1:32" hidden="1" x14ac:dyDescent="0.35">
      <c r="A83" s="112" t="s">
        <v>267</v>
      </c>
      <c r="C83" s="63" t="s">
        <v>227</v>
      </c>
      <c r="D83" s="63">
        <v>10</v>
      </c>
      <c r="E83" s="63"/>
      <c r="F83" s="63"/>
      <c r="G83" s="61">
        <f>SUM(D83:F83)</f>
        <v>10</v>
      </c>
      <c r="H83" s="63"/>
      <c r="I83" s="63"/>
      <c r="J83" s="63"/>
      <c r="K83" s="61">
        <f>SUM(H83:J83)</f>
        <v>0</v>
      </c>
      <c r="L83" s="63">
        <v>4</v>
      </c>
      <c r="M83" s="63"/>
      <c r="N83" s="63"/>
      <c r="O83" s="61">
        <f>SUM(L83:N83)</f>
        <v>4</v>
      </c>
      <c r="P83" s="63"/>
      <c r="Q83" s="63"/>
      <c r="R83" s="63"/>
      <c r="S83" s="61">
        <f>SUM(P83:R83)</f>
        <v>0</v>
      </c>
      <c r="T83" s="63"/>
      <c r="U83" s="63"/>
      <c r="V83" s="63"/>
      <c r="W83" s="61">
        <f>SUM(T83:V83)</f>
        <v>0</v>
      </c>
      <c r="X83" s="63"/>
      <c r="Y83" s="63"/>
      <c r="Z83" s="63"/>
      <c r="AA83" s="61">
        <f>SUM(X83:Z83)</f>
        <v>0</v>
      </c>
      <c r="AB83" s="63"/>
      <c r="AC83" s="63"/>
      <c r="AD83" s="63"/>
      <c r="AE83" s="61">
        <f>SUM(AB83:AD83)</f>
        <v>0</v>
      </c>
      <c r="AF83" s="64">
        <f t="shared" si="15"/>
        <v>14</v>
      </c>
    </row>
    <row r="84" spans="1:32" hidden="1" x14ac:dyDescent="0.35">
      <c r="A84" s="112"/>
      <c r="C84" s="60" t="s">
        <v>228</v>
      </c>
      <c r="D84" s="60">
        <v>8</v>
      </c>
      <c r="E84" s="60"/>
      <c r="F84" s="60"/>
      <c r="G84" s="61">
        <f>SUM(D84:F84)</f>
        <v>8</v>
      </c>
      <c r="H84" s="60"/>
      <c r="I84" s="60"/>
      <c r="J84" s="60"/>
      <c r="K84" s="61">
        <f>SUM(H84:J84)</f>
        <v>0</v>
      </c>
      <c r="L84" s="60">
        <v>1</v>
      </c>
      <c r="M84" s="60"/>
      <c r="N84" s="60"/>
      <c r="O84" s="61">
        <f>SUM(L84:N84)</f>
        <v>1</v>
      </c>
      <c r="P84" s="60"/>
      <c r="Q84" s="60"/>
      <c r="R84" s="60"/>
      <c r="S84" s="61">
        <f>SUM(P84:R84)</f>
        <v>0</v>
      </c>
      <c r="T84" s="60"/>
      <c r="U84" s="60"/>
      <c r="V84" s="60"/>
      <c r="W84" s="61">
        <f>SUM(T84:V84)</f>
        <v>0</v>
      </c>
      <c r="X84" s="60"/>
      <c r="Y84" s="60"/>
      <c r="Z84" s="60"/>
      <c r="AA84" s="61">
        <f>SUM(X84:Z84)</f>
        <v>0</v>
      </c>
      <c r="AB84" s="60"/>
      <c r="AC84" s="60"/>
      <c r="AD84" s="60"/>
      <c r="AE84" s="61">
        <f>SUM(AB84:AD84)</f>
        <v>0</v>
      </c>
      <c r="AF84" s="65">
        <f t="shared" si="15"/>
        <v>9</v>
      </c>
    </row>
    <row r="85" spans="1:32" hidden="1" x14ac:dyDescent="0.35">
      <c r="C85" s="63" t="s">
        <v>235</v>
      </c>
      <c r="D85" s="63">
        <v>11</v>
      </c>
      <c r="E85" s="63"/>
      <c r="F85" s="63"/>
      <c r="G85" s="61">
        <f>SUM(D85:F85)</f>
        <v>11</v>
      </c>
      <c r="H85" s="63"/>
      <c r="I85" s="63"/>
      <c r="J85" s="63"/>
      <c r="K85" s="61">
        <f>SUM(H85:J85)</f>
        <v>0</v>
      </c>
      <c r="L85" s="63">
        <v>2</v>
      </c>
      <c r="M85" s="63"/>
      <c r="N85" s="63"/>
      <c r="O85" s="61">
        <f>SUM(L85:N85)</f>
        <v>2</v>
      </c>
      <c r="P85" s="63"/>
      <c r="Q85" s="63"/>
      <c r="R85" s="63"/>
      <c r="S85" s="61">
        <f>SUM(P85:R85)</f>
        <v>0</v>
      </c>
      <c r="T85" s="63"/>
      <c r="U85" s="63"/>
      <c r="V85" s="63"/>
      <c r="W85" s="61">
        <f>SUM(T85:V85)</f>
        <v>0</v>
      </c>
      <c r="X85" s="63"/>
      <c r="Y85" s="63"/>
      <c r="Z85" s="63"/>
      <c r="AA85" s="61">
        <f>SUM(X85:Z85)</f>
        <v>0</v>
      </c>
      <c r="AB85" s="63"/>
      <c r="AC85" s="63"/>
      <c r="AD85" s="63"/>
      <c r="AE85" s="61">
        <f>SUM(AB85:AD85)</f>
        <v>0</v>
      </c>
      <c r="AF85" s="63">
        <f t="shared" si="15"/>
        <v>13</v>
      </c>
    </row>
    <row r="86" spans="1:32" x14ac:dyDescent="0.35">
      <c r="A86" s="66" t="s">
        <v>265</v>
      </c>
      <c r="B86" s="67" t="s">
        <v>266</v>
      </c>
      <c r="C86" s="66"/>
      <c r="D86" s="66">
        <f t="shared" ref="D86:AE86" si="19">SUM(D82:D85)</f>
        <v>36</v>
      </c>
      <c r="E86" s="66">
        <f t="shared" si="19"/>
        <v>0</v>
      </c>
      <c r="F86" s="66">
        <f t="shared" si="19"/>
        <v>0</v>
      </c>
      <c r="G86" s="61">
        <f t="shared" si="19"/>
        <v>36</v>
      </c>
      <c r="H86" s="66">
        <f t="shared" si="19"/>
        <v>0</v>
      </c>
      <c r="I86" s="66">
        <f t="shared" si="19"/>
        <v>0</v>
      </c>
      <c r="J86" s="66">
        <f t="shared" si="19"/>
        <v>0</v>
      </c>
      <c r="K86" s="61">
        <f t="shared" si="19"/>
        <v>0</v>
      </c>
      <c r="L86" s="66">
        <f t="shared" si="19"/>
        <v>9</v>
      </c>
      <c r="M86" s="66">
        <f t="shared" si="19"/>
        <v>0</v>
      </c>
      <c r="N86" s="66">
        <f t="shared" si="19"/>
        <v>0</v>
      </c>
      <c r="O86" s="61">
        <f t="shared" si="19"/>
        <v>9</v>
      </c>
      <c r="P86" s="66">
        <f t="shared" si="19"/>
        <v>0</v>
      </c>
      <c r="Q86" s="66">
        <f t="shared" si="19"/>
        <v>0</v>
      </c>
      <c r="R86" s="66">
        <f t="shared" si="19"/>
        <v>0</v>
      </c>
      <c r="S86" s="61">
        <f t="shared" si="19"/>
        <v>0</v>
      </c>
      <c r="T86" s="66">
        <f t="shared" si="19"/>
        <v>0</v>
      </c>
      <c r="U86" s="66">
        <f t="shared" si="19"/>
        <v>0</v>
      </c>
      <c r="V86" s="66">
        <f t="shared" si="19"/>
        <v>0</v>
      </c>
      <c r="W86" s="61">
        <f t="shared" si="19"/>
        <v>0</v>
      </c>
      <c r="X86" s="66">
        <f t="shared" si="19"/>
        <v>0</v>
      </c>
      <c r="Y86" s="66">
        <f t="shared" si="19"/>
        <v>0</v>
      </c>
      <c r="Z86" s="66">
        <f t="shared" si="19"/>
        <v>0</v>
      </c>
      <c r="AA86" s="61">
        <f t="shared" si="19"/>
        <v>0</v>
      </c>
      <c r="AB86" s="66">
        <f t="shared" si="19"/>
        <v>0</v>
      </c>
      <c r="AC86" s="66">
        <f t="shared" si="19"/>
        <v>0</v>
      </c>
      <c r="AD86" s="66">
        <f t="shared" si="19"/>
        <v>0</v>
      </c>
      <c r="AE86" s="61">
        <f t="shared" si="19"/>
        <v>0</v>
      </c>
      <c r="AF86" s="68">
        <f t="shared" si="15"/>
        <v>45</v>
      </c>
    </row>
    <row r="87" spans="1:32" hidden="1" x14ac:dyDescent="0.35">
      <c r="A87" s="59" t="s">
        <v>268</v>
      </c>
      <c r="B87" s="54" t="s">
        <v>255</v>
      </c>
      <c r="C87" s="60" t="s">
        <v>225</v>
      </c>
      <c r="D87" s="60"/>
      <c r="E87" s="60"/>
      <c r="F87" s="60"/>
      <c r="G87" s="61">
        <f>SUM(D87:F87)</f>
        <v>0</v>
      </c>
      <c r="H87" s="60"/>
      <c r="I87" s="60"/>
      <c r="J87" s="60"/>
      <c r="K87" s="61">
        <f>SUM(H87:J87)</f>
        <v>0</v>
      </c>
      <c r="L87" s="60"/>
      <c r="M87" s="60"/>
      <c r="N87" s="60"/>
      <c r="O87" s="61">
        <f>SUM(L87:N87)</f>
        <v>0</v>
      </c>
      <c r="P87" s="60"/>
      <c r="Q87" s="60"/>
      <c r="R87" s="60"/>
      <c r="S87" s="61">
        <f>SUM(P87:R87)</f>
        <v>0</v>
      </c>
      <c r="T87" s="60"/>
      <c r="U87" s="60"/>
      <c r="V87" s="60"/>
      <c r="W87" s="61">
        <f>SUM(T87:V87)</f>
        <v>0</v>
      </c>
      <c r="X87" s="60"/>
      <c r="Y87" s="60"/>
      <c r="Z87" s="60"/>
      <c r="AA87" s="61">
        <f>SUM(X87:Z87)</f>
        <v>0</v>
      </c>
      <c r="AB87" s="60"/>
      <c r="AC87" s="60"/>
      <c r="AD87" s="60"/>
      <c r="AE87" s="61">
        <f>SUM(AB87:AD87)</f>
        <v>0</v>
      </c>
      <c r="AF87" s="62">
        <f t="shared" si="15"/>
        <v>0</v>
      </c>
    </row>
    <row r="88" spans="1:32" hidden="1" x14ac:dyDescent="0.35">
      <c r="A88" s="111" t="s">
        <v>254</v>
      </c>
      <c r="C88" s="63" t="s">
        <v>227</v>
      </c>
      <c r="D88" s="63"/>
      <c r="E88" s="63"/>
      <c r="F88" s="63"/>
      <c r="G88" s="61">
        <f>SUM(D88:F88)</f>
        <v>0</v>
      </c>
      <c r="H88" s="63"/>
      <c r="I88" s="63"/>
      <c r="J88" s="63"/>
      <c r="K88" s="61">
        <f>SUM(H88:J88)</f>
        <v>0</v>
      </c>
      <c r="L88" s="63"/>
      <c r="M88" s="63"/>
      <c r="N88" s="63"/>
      <c r="O88" s="61">
        <f>SUM(L88:N88)</f>
        <v>0</v>
      </c>
      <c r="P88" s="63"/>
      <c r="Q88" s="63"/>
      <c r="R88" s="63"/>
      <c r="S88" s="61">
        <f>SUM(P88:R88)</f>
        <v>0</v>
      </c>
      <c r="T88" s="63"/>
      <c r="U88" s="63"/>
      <c r="V88" s="63"/>
      <c r="W88" s="61">
        <f>SUM(T88:V88)</f>
        <v>0</v>
      </c>
      <c r="X88" s="63"/>
      <c r="Y88" s="63"/>
      <c r="Z88" s="63"/>
      <c r="AA88" s="61">
        <f>SUM(X88:Z88)</f>
        <v>0</v>
      </c>
      <c r="AB88" s="63"/>
      <c r="AC88" s="63"/>
      <c r="AD88" s="63"/>
      <c r="AE88" s="61">
        <f>SUM(AB88:AD88)</f>
        <v>0</v>
      </c>
      <c r="AF88" s="64">
        <f t="shared" si="15"/>
        <v>0</v>
      </c>
    </row>
    <row r="89" spans="1:32" hidden="1" x14ac:dyDescent="0.35">
      <c r="A89" s="111"/>
      <c r="C89" s="60" t="s">
        <v>228</v>
      </c>
      <c r="D89" s="60"/>
      <c r="E89" s="60"/>
      <c r="F89" s="60"/>
      <c r="G89" s="61">
        <f>SUM(D89:F89)</f>
        <v>0</v>
      </c>
      <c r="H89" s="60"/>
      <c r="I89" s="60"/>
      <c r="J89" s="60"/>
      <c r="K89" s="61">
        <f>SUM(H89:J89)</f>
        <v>0</v>
      </c>
      <c r="L89" s="60"/>
      <c r="M89" s="60"/>
      <c r="N89" s="60"/>
      <c r="O89" s="61">
        <f>SUM(L89:N89)</f>
        <v>0</v>
      </c>
      <c r="P89" s="60"/>
      <c r="Q89" s="60"/>
      <c r="R89" s="60"/>
      <c r="S89" s="61">
        <f>SUM(P89:R89)</f>
        <v>0</v>
      </c>
      <c r="T89" s="60"/>
      <c r="U89" s="60"/>
      <c r="V89" s="60"/>
      <c r="W89" s="61">
        <f>SUM(T89:V89)</f>
        <v>0</v>
      </c>
      <c r="X89" s="60"/>
      <c r="Y89" s="60"/>
      <c r="Z89" s="60"/>
      <c r="AA89" s="61">
        <f>SUM(X89:Z89)</f>
        <v>0</v>
      </c>
      <c r="AB89" s="60"/>
      <c r="AC89" s="60"/>
      <c r="AD89" s="60"/>
      <c r="AE89" s="61">
        <f>SUM(AB89:AD89)</f>
        <v>0</v>
      </c>
      <c r="AF89" s="65">
        <f t="shared" si="15"/>
        <v>0</v>
      </c>
    </row>
    <row r="90" spans="1:32" hidden="1" x14ac:dyDescent="0.35">
      <c r="C90" s="63" t="s">
        <v>235</v>
      </c>
      <c r="D90" s="63"/>
      <c r="E90" s="63"/>
      <c r="F90" s="63"/>
      <c r="G90" s="61">
        <f>SUM(D90:F90)</f>
        <v>0</v>
      </c>
      <c r="H90" s="63"/>
      <c r="I90" s="63"/>
      <c r="J90" s="63"/>
      <c r="K90" s="61">
        <f>SUM(H90:J90)</f>
        <v>0</v>
      </c>
      <c r="L90" s="63"/>
      <c r="M90" s="63"/>
      <c r="N90" s="63"/>
      <c r="O90" s="61">
        <f>SUM(L90:N90)</f>
        <v>0</v>
      </c>
      <c r="P90" s="63"/>
      <c r="Q90" s="63"/>
      <c r="R90" s="63"/>
      <c r="S90" s="61">
        <f>SUM(P90:R90)</f>
        <v>0</v>
      </c>
      <c r="T90" s="63"/>
      <c r="U90" s="63"/>
      <c r="V90" s="63"/>
      <c r="W90" s="61">
        <f>SUM(T90:V90)</f>
        <v>0</v>
      </c>
      <c r="X90" s="63"/>
      <c r="Y90" s="63"/>
      <c r="Z90" s="63"/>
      <c r="AA90" s="61">
        <f>SUM(X90:Z90)</f>
        <v>0</v>
      </c>
      <c r="AB90" s="63"/>
      <c r="AC90" s="63"/>
      <c r="AD90" s="63"/>
      <c r="AE90" s="61">
        <f>SUM(AB90:AD90)</f>
        <v>0</v>
      </c>
      <c r="AF90" s="63">
        <f t="shared" si="15"/>
        <v>0</v>
      </c>
    </row>
    <row r="91" spans="1:32" x14ac:dyDescent="0.35">
      <c r="A91" s="66" t="s">
        <v>268</v>
      </c>
      <c r="B91" s="67" t="s">
        <v>255</v>
      </c>
      <c r="C91" s="66"/>
      <c r="D91" s="66">
        <f t="shared" ref="D91:AE91" si="20">SUM(D87:D90)</f>
        <v>0</v>
      </c>
      <c r="E91" s="66">
        <f t="shared" si="20"/>
        <v>0</v>
      </c>
      <c r="F91" s="66">
        <f t="shared" si="20"/>
        <v>0</v>
      </c>
      <c r="G91" s="61">
        <f t="shared" si="20"/>
        <v>0</v>
      </c>
      <c r="H91" s="66">
        <f t="shared" si="20"/>
        <v>0</v>
      </c>
      <c r="I91" s="66">
        <f t="shared" si="20"/>
        <v>0</v>
      </c>
      <c r="J91" s="66">
        <f t="shared" si="20"/>
        <v>0</v>
      </c>
      <c r="K91" s="61">
        <f t="shared" si="20"/>
        <v>0</v>
      </c>
      <c r="L91" s="66">
        <f t="shared" si="20"/>
        <v>0</v>
      </c>
      <c r="M91" s="66">
        <f t="shared" si="20"/>
        <v>0</v>
      </c>
      <c r="N91" s="66">
        <f t="shared" si="20"/>
        <v>0</v>
      </c>
      <c r="O91" s="61">
        <f t="shared" si="20"/>
        <v>0</v>
      </c>
      <c r="P91" s="66">
        <f t="shared" si="20"/>
        <v>0</v>
      </c>
      <c r="Q91" s="66">
        <f t="shared" si="20"/>
        <v>0</v>
      </c>
      <c r="R91" s="66">
        <f t="shared" si="20"/>
        <v>0</v>
      </c>
      <c r="S91" s="61">
        <f t="shared" si="20"/>
        <v>0</v>
      </c>
      <c r="T91" s="66">
        <f t="shared" si="20"/>
        <v>0</v>
      </c>
      <c r="U91" s="66">
        <f t="shared" si="20"/>
        <v>0</v>
      </c>
      <c r="V91" s="66">
        <f t="shared" si="20"/>
        <v>0</v>
      </c>
      <c r="W91" s="61">
        <f t="shared" si="20"/>
        <v>0</v>
      </c>
      <c r="X91" s="66">
        <f t="shared" si="20"/>
        <v>0</v>
      </c>
      <c r="Y91" s="66">
        <f t="shared" si="20"/>
        <v>0</v>
      </c>
      <c r="Z91" s="66">
        <f t="shared" si="20"/>
        <v>0</v>
      </c>
      <c r="AA91" s="61">
        <f t="shared" si="20"/>
        <v>0</v>
      </c>
      <c r="AB91" s="66">
        <f t="shared" si="20"/>
        <v>0</v>
      </c>
      <c r="AC91" s="66">
        <f t="shared" si="20"/>
        <v>0</v>
      </c>
      <c r="AD91" s="66">
        <f t="shared" si="20"/>
        <v>0</v>
      </c>
      <c r="AE91" s="61">
        <f t="shared" si="20"/>
        <v>0</v>
      </c>
      <c r="AF91" s="68">
        <f t="shared" si="15"/>
        <v>0</v>
      </c>
    </row>
    <row r="92" spans="1:32" hidden="1" x14ac:dyDescent="0.35">
      <c r="A92" s="59" t="s">
        <v>269</v>
      </c>
      <c r="B92" s="54">
        <v>12</v>
      </c>
      <c r="C92" s="60" t="s">
        <v>225</v>
      </c>
      <c r="D92" s="60">
        <v>51</v>
      </c>
      <c r="E92" s="60">
        <v>10</v>
      </c>
      <c r="F92" s="60"/>
      <c r="G92" s="61">
        <f>SUM(D92:F92)</f>
        <v>61</v>
      </c>
      <c r="H92" s="60"/>
      <c r="I92" s="60"/>
      <c r="J92" s="60"/>
      <c r="K92" s="61">
        <f>SUM(H92:J92)</f>
        <v>0</v>
      </c>
      <c r="L92" s="60"/>
      <c r="M92" s="60"/>
      <c r="N92" s="60"/>
      <c r="O92" s="61">
        <f>SUM(L92:N92)</f>
        <v>0</v>
      </c>
      <c r="P92" s="60"/>
      <c r="Q92" s="60"/>
      <c r="R92" s="60"/>
      <c r="S92" s="61">
        <f>SUM(P92:R92)</f>
        <v>0</v>
      </c>
      <c r="T92" s="60"/>
      <c r="U92" s="60"/>
      <c r="V92" s="60"/>
      <c r="W92" s="61">
        <f>SUM(T92:V92)</f>
        <v>0</v>
      </c>
      <c r="X92" s="60"/>
      <c r="Y92" s="60"/>
      <c r="Z92" s="60"/>
      <c r="AA92" s="61">
        <f>SUM(X92:Z92)</f>
        <v>0</v>
      </c>
      <c r="AB92" s="60"/>
      <c r="AC92" s="60"/>
      <c r="AD92" s="60"/>
      <c r="AE92" s="61">
        <f>SUM(AB92:AD92)</f>
        <v>0</v>
      </c>
      <c r="AF92" s="62">
        <f t="shared" si="15"/>
        <v>61</v>
      </c>
    </row>
    <row r="93" spans="1:32" hidden="1" x14ac:dyDescent="0.35">
      <c r="A93" s="111" t="s">
        <v>270</v>
      </c>
      <c r="C93" s="63" t="s">
        <v>227</v>
      </c>
      <c r="D93" s="63">
        <v>11</v>
      </c>
      <c r="E93" s="63">
        <v>2</v>
      </c>
      <c r="F93" s="63"/>
      <c r="G93" s="61">
        <f>SUM(D93:F93)</f>
        <v>13</v>
      </c>
      <c r="H93" s="63"/>
      <c r="I93" s="63"/>
      <c r="J93" s="63"/>
      <c r="K93" s="61">
        <f>SUM(H93:J93)</f>
        <v>0</v>
      </c>
      <c r="L93" s="63"/>
      <c r="M93" s="63"/>
      <c r="N93" s="63"/>
      <c r="O93" s="61">
        <f>SUM(L93:N93)</f>
        <v>0</v>
      </c>
      <c r="P93" s="63"/>
      <c r="Q93" s="63"/>
      <c r="R93" s="63"/>
      <c r="S93" s="61">
        <f>SUM(P93:R93)</f>
        <v>0</v>
      </c>
      <c r="T93" s="63"/>
      <c r="U93" s="63"/>
      <c r="V93" s="63"/>
      <c r="W93" s="61">
        <f>SUM(T93:V93)</f>
        <v>0</v>
      </c>
      <c r="X93" s="63"/>
      <c r="Y93" s="63"/>
      <c r="Z93" s="63"/>
      <c r="AA93" s="61">
        <f>SUM(X93:Z93)</f>
        <v>0</v>
      </c>
      <c r="AB93" s="63"/>
      <c r="AC93" s="63"/>
      <c r="AD93" s="63"/>
      <c r="AE93" s="61">
        <f>SUM(AB93:AD93)</f>
        <v>0</v>
      </c>
      <c r="AF93" s="64">
        <f t="shared" si="15"/>
        <v>13</v>
      </c>
    </row>
    <row r="94" spans="1:32" hidden="1" x14ac:dyDescent="0.35">
      <c r="A94" s="111"/>
      <c r="C94" s="60" t="s">
        <v>228</v>
      </c>
      <c r="D94" s="60"/>
      <c r="E94" s="60"/>
      <c r="F94" s="60"/>
      <c r="G94" s="61">
        <f>SUM(D94:F94)</f>
        <v>0</v>
      </c>
      <c r="H94" s="60"/>
      <c r="I94" s="60"/>
      <c r="J94" s="60"/>
      <c r="K94" s="61">
        <f>SUM(H94:J94)</f>
        <v>0</v>
      </c>
      <c r="L94" s="60"/>
      <c r="M94" s="60"/>
      <c r="N94" s="60"/>
      <c r="O94" s="61">
        <f>SUM(L94:N94)</f>
        <v>0</v>
      </c>
      <c r="P94" s="60"/>
      <c r="Q94" s="60"/>
      <c r="R94" s="60"/>
      <c r="S94" s="61">
        <f>SUM(P94:R94)</f>
        <v>0</v>
      </c>
      <c r="T94" s="60"/>
      <c r="U94" s="60"/>
      <c r="V94" s="60"/>
      <c r="W94" s="61">
        <f>SUM(T94:V94)</f>
        <v>0</v>
      </c>
      <c r="X94" s="60"/>
      <c r="Y94" s="60"/>
      <c r="Z94" s="60"/>
      <c r="AA94" s="61">
        <f>SUM(X94:Z94)</f>
        <v>0</v>
      </c>
      <c r="AB94" s="60">
        <v>24</v>
      </c>
      <c r="AC94" s="60">
        <v>4</v>
      </c>
      <c r="AD94" s="60"/>
      <c r="AE94" s="61">
        <f>SUM(AB94:AD94)</f>
        <v>28</v>
      </c>
      <c r="AF94" s="65">
        <f t="shared" si="15"/>
        <v>28</v>
      </c>
    </row>
    <row r="95" spans="1:32" hidden="1" x14ac:dyDescent="0.35">
      <c r="A95" s="111"/>
      <c r="C95" s="63" t="s">
        <v>235</v>
      </c>
      <c r="D95" s="63"/>
      <c r="E95" s="63"/>
      <c r="F95" s="63"/>
      <c r="G95" s="61">
        <f>SUM(D95:F95)</f>
        <v>0</v>
      </c>
      <c r="H95" s="63"/>
      <c r="I95" s="63"/>
      <c r="J95" s="63"/>
      <c r="K95" s="61">
        <f>SUM(H95:J95)</f>
        <v>0</v>
      </c>
      <c r="L95" s="63"/>
      <c r="M95" s="63"/>
      <c r="N95" s="63"/>
      <c r="O95" s="61">
        <f>SUM(L95:N95)</f>
        <v>0</v>
      </c>
      <c r="P95" s="63"/>
      <c r="Q95" s="63"/>
      <c r="R95" s="63"/>
      <c r="S95" s="61">
        <f>SUM(P95:R95)</f>
        <v>0</v>
      </c>
      <c r="T95" s="63"/>
      <c r="U95" s="63"/>
      <c r="V95" s="63"/>
      <c r="W95" s="61">
        <f>SUM(T95:V95)</f>
        <v>0</v>
      </c>
      <c r="X95" s="63"/>
      <c r="Y95" s="63"/>
      <c r="Z95" s="63"/>
      <c r="AA95" s="61">
        <f>SUM(X95:Z95)</f>
        <v>0</v>
      </c>
      <c r="AB95" s="63"/>
      <c r="AC95" s="63"/>
      <c r="AD95" s="63"/>
      <c r="AE95" s="61">
        <f>SUM(AB95:AD95)</f>
        <v>0</v>
      </c>
      <c r="AF95" s="63">
        <f t="shared" si="15"/>
        <v>0</v>
      </c>
    </row>
    <row r="96" spans="1:32" x14ac:dyDescent="0.35">
      <c r="A96" s="66" t="s">
        <v>269</v>
      </c>
      <c r="B96" s="67">
        <v>12</v>
      </c>
      <c r="C96" s="66"/>
      <c r="D96" s="66">
        <f t="shared" ref="D96:AE96" si="21">SUM(D92:D95)</f>
        <v>62</v>
      </c>
      <c r="E96" s="66">
        <f t="shared" si="21"/>
        <v>12</v>
      </c>
      <c r="F96" s="66">
        <f t="shared" si="21"/>
        <v>0</v>
      </c>
      <c r="G96" s="61">
        <f t="shared" si="21"/>
        <v>74</v>
      </c>
      <c r="H96" s="66">
        <f t="shared" si="21"/>
        <v>0</v>
      </c>
      <c r="I96" s="66">
        <f t="shared" si="21"/>
        <v>0</v>
      </c>
      <c r="J96" s="66">
        <f t="shared" si="21"/>
        <v>0</v>
      </c>
      <c r="K96" s="61">
        <f t="shared" si="21"/>
        <v>0</v>
      </c>
      <c r="L96" s="66">
        <f t="shared" si="21"/>
        <v>0</v>
      </c>
      <c r="M96" s="66">
        <f t="shared" si="21"/>
        <v>0</v>
      </c>
      <c r="N96" s="66">
        <f t="shared" si="21"/>
        <v>0</v>
      </c>
      <c r="O96" s="61">
        <f t="shared" si="21"/>
        <v>0</v>
      </c>
      <c r="P96" s="66">
        <f t="shared" si="21"/>
        <v>0</v>
      </c>
      <c r="Q96" s="66">
        <f t="shared" si="21"/>
        <v>0</v>
      </c>
      <c r="R96" s="66">
        <f t="shared" si="21"/>
        <v>0</v>
      </c>
      <c r="S96" s="61">
        <f t="shared" si="21"/>
        <v>0</v>
      </c>
      <c r="T96" s="66">
        <f t="shared" si="21"/>
        <v>0</v>
      </c>
      <c r="U96" s="66">
        <f t="shared" si="21"/>
        <v>0</v>
      </c>
      <c r="V96" s="66">
        <f t="shared" si="21"/>
        <v>0</v>
      </c>
      <c r="W96" s="61">
        <f t="shared" si="21"/>
        <v>0</v>
      </c>
      <c r="X96" s="66">
        <f t="shared" si="21"/>
        <v>0</v>
      </c>
      <c r="Y96" s="66">
        <f t="shared" si="21"/>
        <v>0</v>
      </c>
      <c r="Z96" s="66">
        <f t="shared" si="21"/>
        <v>0</v>
      </c>
      <c r="AA96" s="61">
        <f t="shared" si="21"/>
        <v>0</v>
      </c>
      <c r="AB96" s="66">
        <f t="shared" si="21"/>
        <v>24</v>
      </c>
      <c r="AC96" s="66">
        <f t="shared" si="21"/>
        <v>4</v>
      </c>
      <c r="AD96" s="66">
        <f t="shared" si="21"/>
        <v>0</v>
      </c>
      <c r="AE96" s="61">
        <f t="shared" si="21"/>
        <v>28</v>
      </c>
      <c r="AF96" s="68">
        <f t="shared" si="15"/>
        <v>102</v>
      </c>
    </row>
    <row r="97" spans="1:32" hidden="1" x14ac:dyDescent="0.35">
      <c r="A97" s="59" t="s">
        <v>271</v>
      </c>
      <c r="B97" s="54" t="s">
        <v>272</v>
      </c>
      <c r="C97" s="60" t="s">
        <v>225</v>
      </c>
      <c r="D97" s="60">
        <v>20</v>
      </c>
      <c r="E97" s="60"/>
      <c r="F97" s="60"/>
      <c r="G97" s="61">
        <f>SUM(D97:F97)</f>
        <v>20</v>
      </c>
      <c r="H97" s="60"/>
      <c r="I97" s="60"/>
      <c r="J97" s="60"/>
      <c r="K97" s="61">
        <f>SUM(H97:J97)</f>
        <v>0</v>
      </c>
      <c r="L97" s="60">
        <v>1</v>
      </c>
      <c r="M97" s="60"/>
      <c r="N97" s="60"/>
      <c r="O97" s="61">
        <f>SUM(L97:N97)</f>
        <v>1</v>
      </c>
      <c r="P97" s="60"/>
      <c r="Q97" s="60"/>
      <c r="R97" s="60"/>
      <c r="S97" s="61">
        <f>SUM(P97:R97)</f>
        <v>0</v>
      </c>
      <c r="T97" s="60"/>
      <c r="U97" s="60"/>
      <c r="V97" s="60"/>
      <c r="W97" s="61">
        <f>SUM(T97:V97)</f>
        <v>0</v>
      </c>
      <c r="X97" s="60"/>
      <c r="Y97" s="60"/>
      <c r="Z97" s="60"/>
      <c r="AA97" s="61">
        <f>SUM(X97:Z97)</f>
        <v>0</v>
      </c>
      <c r="AB97" s="60"/>
      <c r="AC97" s="60"/>
      <c r="AD97" s="60"/>
      <c r="AE97" s="61">
        <f>SUM(AB97:AD97)</f>
        <v>0</v>
      </c>
      <c r="AF97" s="62">
        <f t="shared" si="15"/>
        <v>21</v>
      </c>
    </row>
    <row r="98" spans="1:32" hidden="1" x14ac:dyDescent="0.35">
      <c r="A98" s="111" t="s">
        <v>273</v>
      </c>
      <c r="C98" s="63" t="s">
        <v>227</v>
      </c>
      <c r="D98" s="63">
        <v>4</v>
      </c>
      <c r="E98" s="63">
        <v>1</v>
      </c>
      <c r="F98" s="63"/>
      <c r="G98" s="61">
        <f>SUM(D98:F98)</f>
        <v>5</v>
      </c>
      <c r="H98" s="63"/>
      <c r="I98" s="63"/>
      <c r="J98" s="63"/>
      <c r="K98" s="61">
        <f>SUM(H98:J98)</f>
        <v>0</v>
      </c>
      <c r="L98" s="63">
        <v>1</v>
      </c>
      <c r="M98" s="63">
        <v>1</v>
      </c>
      <c r="N98" s="63"/>
      <c r="O98" s="61">
        <f>SUM(L98:N98)</f>
        <v>2</v>
      </c>
      <c r="P98" s="63"/>
      <c r="Q98" s="63"/>
      <c r="R98" s="63"/>
      <c r="S98" s="61">
        <f>SUM(P98:R98)</f>
        <v>0</v>
      </c>
      <c r="T98" s="63"/>
      <c r="U98" s="63"/>
      <c r="V98" s="63"/>
      <c r="W98" s="61">
        <f>SUM(T98:V98)</f>
        <v>0</v>
      </c>
      <c r="X98" s="63"/>
      <c r="Y98" s="63"/>
      <c r="Z98" s="63"/>
      <c r="AA98" s="61">
        <f>SUM(X98:Z98)</f>
        <v>0</v>
      </c>
      <c r="AB98" s="63"/>
      <c r="AC98" s="63"/>
      <c r="AD98" s="63"/>
      <c r="AE98" s="61">
        <f>SUM(AB98:AD98)</f>
        <v>0</v>
      </c>
      <c r="AF98" s="64">
        <f t="shared" si="15"/>
        <v>7</v>
      </c>
    </row>
    <row r="99" spans="1:32" hidden="1" x14ac:dyDescent="0.35">
      <c r="A99" s="111"/>
      <c r="C99" s="60" t="s">
        <v>228</v>
      </c>
      <c r="D99" s="60">
        <v>8</v>
      </c>
      <c r="E99" s="60">
        <v>2</v>
      </c>
      <c r="F99" s="60"/>
      <c r="G99" s="61">
        <f>SUM(D99:F99)</f>
        <v>10</v>
      </c>
      <c r="H99" s="60"/>
      <c r="I99" s="60"/>
      <c r="J99" s="60"/>
      <c r="K99" s="61">
        <f>SUM(H99:J99)</f>
        <v>0</v>
      </c>
      <c r="L99" s="60"/>
      <c r="M99" s="60"/>
      <c r="N99" s="60"/>
      <c r="O99" s="61">
        <f>SUM(L99:N99)</f>
        <v>0</v>
      </c>
      <c r="P99" s="60"/>
      <c r="Q99" s="60"/>
      <c r="R99" s="60"/>
      <c r="S99" s="61">
        <f>SUM(P99:R99)</f>
        <v>0</v>
      </c>
      <c r="T99" s="60"/>
      <c r="U99" s="60"/>
      <c r="V99" s="60"/>
      <c r="W99" s="61">
        <f>SUM(T99:V99)</f>
        <v>0</v>
      </c>
      <c r="X99" s="60"/>
      <c r="Y99" s="60"/>
      <c r="Z99" s="60"/>
      <c r="AA99" s="61">
        <f>SUM(X99:Z99)</f>
        <v>0</v>
      </c>
      <c r="AB99" s="60"/>
      <c r="AC99" s="60"/>
      <c r="AD99" s="60"/>
      <c r="AE99" s="61">
        <f>SUM(AB99:AD99)</f>
        <v>0</v>
      </c>
      <c r="AF99" s="65">
        <f t="shared" si="15"/>
        <v>10</v>
      </c>
    </row>
    <row r="100" spans="1:32" hidden="1" x14ac:dyDescent="0.35">
      <c r="A100" s="111"/>
      <c r="C100" s="63" t="s">
        <v>235</v>
      </c>
      <c r="D100" s="63">
        <v>6</v>
      </c>
      <c r="E100" s="63">
        <v>1</v>
      </c>
      <c r="F100" s="63"/>
      <c r="G100" s="61">
        <f>SUM(D100:F100)</f>
        <v>7</v>
      </c>
      <c r="H100" s="63"/>
      <c r="I100" s="63"/>
      <c r="J100" s="63"/>
      <c r="K100" s="61">
        <f>SUM(H100:J100)</f>
        <v>0</v>
      </c>
      <c r="L100" s="63"/>
      <c r="M100" s="63"/>
      <c r="N100" s="63"/>
      <c r="O100" s="61">
        <f>SUM(L100:N100)</f>
        <v>0</v>
      </c>
      <c r="P100" s="63"/>
      <c r="Q100" s="63"/>
      <c r="R100" s="63"/>
      <c r="S100" s="61">
        <f>SUM(P100:R100)</f>
        <v>0</v>
      </c>
      <c r="T100" s="63"/>
      <c r="U100" s="63"/>
      <c r="V100" s="63"/>
      <c r="W100" s="61">
        <f>SUM(T100:V100)</f>
        <v>0</v>
      </c>
      <c r="X100" s="63"/>
      <c r="Y100" s="63"/>
      <c r="Z100" s="63"/>
      <c r="AA100" s="61">
        <f>SUM(X100:Z100)</f>
        <v>0</v>
      </c>
      <c r="AB100" s="63"/>
      <c r="AC100" s="63"/>
      <c r="AD100" s="63"/>
      <c r="AE100" s="61">
        <f>SUM(AB100:AD100)</f>
        <v>0</v>
      </c>
      <c r="AF100" s="63">
        <f t="shared" si="15"/>
        <v>7</v>
      </c>
    </row>
    <row r="101" spans="1:32" hidden="1" x14ac:dyDescent="0.35">
      <c r="A101" s="66" t="s">
        <v>274</v>
      </c>
      <c r="B101" s="67"/>
      <c r="C101" s="66"/>
      <c r="D101" s="66">
        <f t="shared" ref="D101:AE101" si="22">SUM(D97:D100)</f>
        <v>38</v>
      </c>
      <c r="E101" s="66">
        <f t="shared" si="22"/>
        <v>4</v>
      </c>
      <c r="F101" s="66">
        <f t="shared" si="22"/>
        <v>0</v>
      </c>
      <c r="G101" s="61">
        <f t="shared" si="22"/>
        <v>42</v>
      </c>
      <c r="H101" s="66">
        <f t="shared" si="22"/>
        <v>0</v>
      </c>
      <c r="I101" s="66">
        <f t="shared" si="22"/>
        <v>0</v>
      </c>
      <c r="J101" s="66">
        <f t="shared" si="22"/>
        <v>0</v>
      </c>
      <c r="K101" s="61">
        <f t="shared" si="22"/>
        <v>0</v>
      </c>
      <c r="L101" s="66">
        <f t="shared" si="22"/>
        <v>2</v>
      </c>
      <c r="M101" s="66">
        <f t="shared" si="22"/>
        <v>1</v>
      </c>
      <c r="N101" s="66">
        <f t="shared" si="22"/>
        <v>0</v>
      </c>
      <c r="O101" s="61">
        <f t="shared" si="22"/>
        <v>3</v>
      </c>
      <c r="P101" s="66">
        <f t="shared" si="22"/>
        <v>0</v>
      </c>
      <c r="Q101" s="66">
        <f t="shared" si="22"/>
        <v>0</v>
      </c>
      <c r="R101" s="66">
        <f t="shared" si="22"/>
        <v>0</v>
      </c>
      <c r="S101" s="61">
        <f t="shared" si="22"/>
        <v>0</v>
      </c>
      <c r="T101" s="66">
        <f t="shared" si="22"/>
        <v>0</v>
      </c>
      <c r="U101" s="66">
        <f t="shared" si="22"/>
        <v>0</v>
      </c>
      <c r="V101" s="66">
        <f t="shared" si="22"/>
        <v>0</v>
      </c>
      <c r="W101" s="61">
        <f t="shared" si="22"/>
        <v>0</v>
      </c>
      <c r="X101" s="66">
        <f t="shared" si="22"/>
        <v>0</v>
      </c>
      <c r="Y101" s="66">
        <f t="shared" si="22"/>
        <v>0</v>
      </c>
      <c r="Z101" s="66">
        <f t="shared" si="22"/>
        <v>0</v>
      </c>
      <c r="AA101" s="61">
        <f t="shared" si="22"/>
        <v>0</v>
      </c>
      <c r="AB101" s="66">
        <f t="shared" si="22"/>
        <v>0</v>
      </c>
      <c r="AC101" s="66">
        <f t="shared" si="22"/>
        <v>0</v>
      </c>
      <c r="AD101" s="66">
        <f t="shared" si="22"/>
        <v>0</v>
      </c>
      <c r="AE101" s="61">
        <f t="shared" si="22"/>
        <v>0</v>
      </c>
      <c r="AF101" s="68">
        <f t="shared" si="15"/>
        <v>45</v>
      </c>
    </row>
    <row r="102" spans="1:32" ht="15" hidden="1" customHeight="1" x14ac:dyDescent="0.35">
      <c r="A102" s="111" t="s">
        <v>275</v>
      </c>
      <c r="C102" s="60" t="s">
        <v>225</v>
      </c>
      <c r="D102" s="60"/>
      <c r="E102" s="60"/>
      <c r="F102" s="60"/>
      <c r="G102" s="61">
        <f>SUM(D102:F102)</f>
        <v>0</v>
      </c>
      <c r="H102" s="60"/>
      <c r="I102" s="60"/>
      <c r="J102" s="60"/>
      <c r="K102" s="61">
        <f>SUM(H102:J102)</f>
        <v>0</v>
      </c>
      <c r="L102" s="60"/>
      <c r="M102" s="60"/>
      <c r="N102" s="60"/>
      <c r="O102" s="61">
        <f>SUM(L102:N102)</f>
        <v>0</v>
      </c>
      <c r="P102" s="60"/>
      <c r="Q102" s="60"/>
      <c r="R102" s="60"/>
      <c r="S102" s="61">
        <f>SUM(P102:R102)</f>
        <v>0</v>
      </c>
      <c r="T102" s="60"/>
      <c r="U102" s="60"/>
      <c r="V102" s="60"/>
      <c r="W102" s="61">
        <f>SUM(T102:V102)</f>
        <v>0</v>
      </c>
      <c r="X102" s="60"/>
      <c r="Y102" s="60"/>
      <c r="Z102" s="60"/>
      <c r="AA102" s="61">
        <f>SUM(X102:Z102)</f>
        <v>0</v>
      </c>
      <c r="AB102" s="60">
        <v>1</v>
      </c>
      <c r="AC102" s="60"/>
      <c r="AD102" s="60"/>
      <c r="AE102" s="61">
        <f>SUM(AB102:AD102)</f>
        <v>1</v>
      </c>
      <c r="AF102" s="62">
        <f t="shared" si="15"/>
        <v>1</v>
      </c>
    </row>
    <row r="103" spans="1:32" hidden="1" x14ac:dyDescent="0.35">
      <c r="A103" s="111"/>
      <c r="C103" s="63" t="s">
        <v>227</v>
      </c>
      <c r="D103" s="63"/>
      <c r="E103" s="63"/>
      <c r="F103" s="63"/>
      <c r="G103" s="61">
        <f>SUM(D103:F103)</f>
        <v>0</v>
      </c>
      <c r="H103" s="63"/>
      <c r="I103" s="63"/>
      <c r="J103" s="63"/>
      <c r="K103" s="61">
        <f>SUM(H103:J103)</f>
        <v>0</v>
      </c>
      <c r="L103" s="63"/>
      <c r="M103" s="63"/>
      <c r="N103" s="63"/>
      <c r="O103" s="61">
        <f>SUM(L103:N103)</f>
        <v>0</v>
      </c>
      <c r="P103" s="63"/>
      <c r="Q103" s="63"/>
      <c r="R103" s="63"/>
      <c r="S103" s="61">
        <f>SUM(P103:R103)</f>
        <v>0</v>
      </c>
      <c r="T103" s="63"/>
      <c r="U103" s="63"/>
      <c r="V103" s="63"/>
      <c r="W103" s="61">
        <f>SUM(T103:V103)</f>
        <v>0</v>
      </c>
      <c r="X103" s="63"/>
      <c r="Y103" s="63"/>
      <c r="Z103" s="63"/>
      <c r="AA103" s="61">
        <f>SUM(X103:Z103)</f>
        <v>0</v>
      </c>
      <c r="AB103" s="63">
        <v>14</v>
      </c>
      <c r="AC103" s="63"/>
      <c r="AD103" s="63"/>
      <c r="AE103" s="61">
        <f>SUM(AB103:AD103)</f>
        <v>14</v>
      </c>
      <c r="AF103" s="64">
        <f t="shared" si="15"/>
        <v>14</v>
      </c>
    </row>
    <row r="104" spans="1:32" hidden="1" x14ac:dyDescent="0.35">
      <c r="A104" s="111"/>
      <c r="C104" s="60" t="s">
        <v>228</v>
      </c>
      <c r="D104" s="60"/>
      <c r="E104" s="60"/>
      <c r="F104" s="60"/>
      <c r="G104" s="61">
        <f>SUM(D104:F104)</f>
        <v>0</v>
      </c>
      <c r="H104" s="60"/>
      <c r="I104" s="60"/>
      <c r="J104" s="60"/>
      <c r="K104" s="61">
        <f>SUM(H104:J104)</f>
        <v>0</v>
      </c>
      <c r="L104" s="60"/>
      <c r="M104" s="60"/>
      <c r="N104" s="60"/>
      <c r="O104" s="61">
        <f>SUM(L104:N104)</f>
        <v>0</v>
      </c>
      <c r="P104" s="60"/>
      <c r="Q104" s="60"/>
      <c r="R104" s="60"/>
      <c r="S104" s="61">
        <f>SUM(P104:R104)</f>
        <v>0</v>
      </c>
      <c r="T104" s="60"/>
      <c r="U104" s="60"/>
      <c r="V104" s="60"/>
      <c r="W104" s="61">
        <f>SUM(T104:V104)</f>
        <v>0</v>
      </c>
      <c r="X104" s="60"/>
      <c r="Y104" s="60"/>
      <c r="Z104" s="60"/>
      <c r="AA104" s="61">
        <f>SUM(X104:Z104)</f>
        <v>0</v>
      </c>
      <c r="AB104" s="60">
        <v>7</v>
      </c>
      <c r="AC104" s="60"/>
      <c r="AD104" s="60"/>
      <c r="AE104" s="61">
        <f>SUM(AB104:AD104)</f>
        <v>7</v>
      </c>
      <c r="AF104" s="65">
        <f t="shared" si="15"/>
        <v>7</v>
      </c>
    </row>
    <row r="105" spans="1:32" hidden="1" x14ac:dyDescent="0.35">
      <c r="A105" s="111"/>
      <c r="C105" s="63" t="s">
        <v>235</v>
      </c>
      <c r="D105" s="63"/>
      <c r="E105" s="63"/>
      <c r="F105" s="63"/>
      <c r="G105" s="61">
        <f>SUM(D105:F105)</f>
        <v>0</v>
      </c>
      <c r="H105" s="63"/>
      <c r="I105" s="63"/>
      <c r="J105" s="63"/>
      <c r="K105" s="61">
        <f>SUM(H105:J105)</f>
        <v>0</v>
      </c>
      <c r="L105" s="63"/>
      <c r="M105" s="63"/>
      <c r="N105" s="63"/>
      <c r="O105" s="61">
        <f>SUM(L105:N105)</f>
        <v>0</v>
      </c>
      <c r="P105" s="63"/>
      <c r="Q105" s="63"/>
      <c r="R105" s="63"/>
      <c r="S105" s="61">
        <f>SUM(P105:R105)</f>
        <v>0</v>
      </c>
      <c r="T105" s="63"/>
      <c r="U105" s="63"/>
      <c r="V105" s="63"/>
      <c r="W105" s="61">
        <f>SUM(T105:V105)</f>
        <v>0</v>
      </c>
      <c r="X105" s="63"/>
      <c r="Y105" s="63"/>
      <c r="Z105" s="63"/>
      <c r="AA105" s="61">
        <f>SUM(X105:Z105)</f>
        <v>0</v>
      </c>
      <c r="AB105" s="63">
        <v>3</v>
      </c>
      <c r="AC105" s="63"/>
      <c r="AD105" s="63"/>
      <c r="AE105" s="61">
        <f>SUM(AB105:AD105)</f>
        <v>3</v>
      </c>
      <c r="AF105" s="63">
        <f t="shared" si="15"/>
        <v>3</v>
      </c>
    </row>
    <row r="106" spans="1:32" hidden="1" x14ac:dyDescent="0.35">
      <c r="A106" s="66" t="s">
        <v>276</v>
      </c>
      <c r="B106" s="67"/>
      <c r="C106" s="66"/>
      <c r="D106" s="66">
        <f t="shared" ref="D106:AE106" si="23">SUM(D102:D105)</f>
        <v>0</v>
      </c>
      <c r="E106" s="66">
        <f t="shared" si="23"/>
        <v>0</v>
      </c>
      <c r="F106" s="66">
        <f t="shared" si="23"/>
        <v>0</v>
      </c>
      <c r="G106" s="61">
        <f t="shared" si="23"/>
        <v>0</v>
      </c>
      <c r="H106" s="66">
        <f t="shared" si="23"/>
        <v>0</v>
      </c>
      <c r="I106" s="66">
        <f t="shared" si="23"/>
        <v>0</v>
      </c>
      <c r="J106" s="66">
        <f t="shared" si="23"/>
        <v>0</v>
      </c>
      <c r="K106" s="61">
        <f t="shared" si="23"/>
        <v>0</v>
      </c>
      <c r="L106" s="66">
        <f t="shared" si="23"/>
        <v>0</v>
      </c>
      <c r="M106" s="66">
        <f t="shared" si="23"/>
        <v>0</v>
      </c>
      <c r="N106" s="66">
        <f t="shared" si="23"/>
        <v>0</v>
      </c>
      <c r="O106" s="61">
        <f t="shared" si="23"/>
        <v>0</v>
      </c>
      <c r="P106" s="66">
        <f t="shared" si="23"/>
        <v>0</v>
      </c>
      <c r="Q106" s="66">
        <f t="shared" si="23"/>
        <v>0</v>
      </c>
      <c r="R106" s="66">
        <f t="shared" si="23"/>
        <v>0</v>
      </c>
      <c r="S106" s="61">
        <f t="shared" si="23"/>
        <v>0</v>
      </c>
      <c r="T106" s="66">
        <f t="shared" si="23"/>
        <v>0</v>
      </c>
      <c r="U106" s="66">
        <f t="shared" si="23"/>
        <v>0</v>
      </c>
      <c r="V106" s="66">
        <f t="shared" si="23"/>
        <v>0</v>
      </c>
      <c r="W106" s="61">
        <f t="shared" si="23"/>
        <v>0</v>
      </c>
      <c r="X106" s="66">
        <f t="shared" si="23"/>
        <v>0</v>
      </c>
      <c r="Y106" s="66">
        <f t="shared" si="23"/>
        <v>0</v>
      </c>
      <c r="Z106" s="66">
        <f t="shared" si="23"/>
        <v>0</v>
      </c>
      <c r="AA106" s="61">
        <f t="shared" si="23"/>
        <v>0</v>
      </c>
      <c r="AB106" s="66">
        <f t="shared" si="23"/>
        <v>25</v>
      </c>
      <c r="AC106" s="66">
        <f t="shared" si="23"/>
        <v>0</v>
      </c>
      <c r="AD106" s="66">
        <f t="shared" si="23"/>
        <v>0</v>
      </c>
      <c r="AE106" s="61">
        <f t="shared" si="23"/>
        <v>25</v>
      </c>
      <c r="AF106" s="68">
        <f t="shared" si="15"/>
        <v>25</v>
      </c>
    </row>
    <row r="107" spans="1:32" x14ac:dyDescent="0.35">
      <c r="A107" s="66" t="s">
        <v>271</v>
      </c>
      <c r="B107" s="67" t="s">
        <v>272</v>
      </c>
      <c r="C107" s="66"/>
      <c r="D107" s="66">
        <f t="shared" ref="D107:AE107" si="24">SUM(D106,D101)</f>
        <v>38</v>
      </c>
      <c r="E107" s="66">
        <f t="shared" si="24"/>
        <v>4</v>
      </c>
      <c r="F107" s="66">
        <f t="shared" si="24"/>
        <v>0</v>
      </c>
      <c r="G107" s="61">
        <f t="shared" si="24"/>
        <v>42</v>
      </c>
      <c r="H107" s="66">
        <f t="shared" si="24"/>
        <v>0</v>
      </c>
      <c r="I107" s="66">
        <f t="shared" si="24"/>
        <v>0</v>
      </c>
      <c r="J107" s="66">
        <f t="shared" si="24"/>
        <v>0</v>
      </c>
      <c r="K107" s="61">
        <f t="shared" si="24"/>
        <v>0</v>
      </c>
      <c r="L107" s="66">
        <f t="shared" si="24"/>
        <v>2</v>
      </c>
      <c r="M107" s="66">
        <f t="shared" si="24"/>
        <v>1</v>
      </c>
      <c r="N107" s="66">
        <f t="shared" si="24"/>
        <v>0</v>
      </c>
      <c r="O107" s="61">
        <f t="shared" si="24"/>
        <v>3</v>
      </c>
      <c r="P107" s="66">
        <f t="shared" si="24"/>
        <v>0</v>
      </c>
      <c r="Q107" s="66">
        <f t="shared" si="24"/>
        <v>0</v>
      </c>
      <c r="R107" s="66">
        <f t="shared" si="24"/>
        <v>0</v>
      </c>
      <c r="S107" s="61">
        <f t="shared" si="24"/>
        <v>0</v>
      </c>
      <c r="T107" s="66">
        <f t="shared" si="24"/>
        <v>0</v>
      </c>
      <c r="U107" s="66">
        <f t="shared" si="24"/>
        <v>0</v>
      </c>
      <c r="V107" s="66">
        <f t="shared" si="24"/>
        <v>0</v>
      </c>
      <c r="W107" s="61">
        <f t="shared" si="24"/>
        <v>0</v>
      </c>
      <c r="X107" s="66">
        <f t="shared" si="24"/>
        <v>0</v>
      </c>
      <c r="Y107" s="66">
        <f t="shared" si="24"/>
        <v>0</v>
      </c>
      <c r="Z107" s="66">
        <f t="shared" si="24"/>
        <v>0</v>
      </c>
      <c r="AA107" s="61">
        <f t="shared" si="24"/>
        <v>0</v>
      </c>
      <c r="AB107" s="66">
        <f t="shared" si="24"/>
        <v>25</v>
      </c>
      <c r="AC107" s="66">
        <f t="shared" si="24"/>
        <v>0</v>
      </c>
      <c r="AD107" s="66">
        <f t="shared" si="24"/>
        <v>0</v>
      </c>
      <c r="AE107" s="61">
        <f t="shared" si="24"/>
        <v>25</v>
      </c>
      <c r="AF107" s="68">
        <f t="shared" si="15"/>
        <v>70</v>
      </c>
    </row>
    <row r="108" spans="1:32" hidden="1" x14ac:dyDescent="0.35">
      <c r="A108" s="75" t="s">
        <v>277</v>
      </c>
      <c r="B108" s="54" t="s">
        <v>272</v>
      </c>
      <c r="C108" s="60" t="s">
        <v>225</v>
      </c>
      <c r="D108" s="60">
        <v>4</v>
      </c>
      <c r="E108" s="60">
        <v>1</v>
      </c>
      <c r="F108" s="60"/>
      <c r="G108" s="61">
        <f>SUM(D108:F108)</f>
        <v>5</v>
      </c>
      <c r="H108" s="60"/>
      <c r="I108" s="60"/>
      <c r="J108" s="60"/>
      <c r="K108" s="61">
        <f>SUM(H108:J108)</f>
        <v>0</v>
      </c>
      <c r="L108" s="60"/>
      <c r="M108" s="60"/>
      <c r="N108" s="60"/>
      <c r="O108" s="61">
        <f>SUM(L108:N108)</f>
        <v>0</v>
      </c>
      <c r="P108" s="60"/>
      <c r="Q108" s="60"/>
      <c r="R108" s="60"/>
      <c r="S108" s="61">
        <f>SUM(P108:R108)</f>
        <v>0</v>
      </c>
      <c r="T108" s="60"/>
      <c r="U108" s="60"/>
      <c r="V108" s="60"/>
      <c r="W108" s="61">
        <f>SUM(T108:V108)</f>
        <v>0</v>
      </c>
      <c r="X108" s="60"/>
      <c r="Y108" s="60"/>
      <c r="Z108" s="60"/>
      <c r="AA108" s="61">
        <f>SUM(X108:Z108)</f>
        <v>0</v>
      </c>
      <c r="AB108" s="60"/>
      <c r="AC108" s="60"/>
      <c r="AD108" s="60"/>
      <c r="AE108" s="61">
        <f>SUM(AB108:AD108)</f>
        <v>0</v>
      </c>
      <c r="AF108" s="62">
        <f t="shared" si="15"/>
        <v>5</v>
      </c>
    </row>
    <row r="109" spans="1:32" hidden="1" x14ac:dyDescent="0.35">
      <c r="A109" s="111" t="s">
        <v>278</v>
      </c>
      <c r="C109" s="63" t="s">
        <v>227</v>
      </c>
      <c r="D109" s="63">
        <v>1</v>
      </c>
      <c r="E109" s="63"/>
      <c r="F109" s="63"/>
      <c r="G109" s="61">
        <f>SUM(D109:F109)</f>
        <v>1</v>
      </c>
      <c r="H109" s="63"/>
      <c r="I109" s="63"/>
      <c r="J109" s="63"/>
      <c r="K109" s="61">
        <f>SUM(H109:J109)</f>
        <v>0</v>
      </c>
      <c r="L109" s="63">
        <v>1</v>
      </c>
      <c r="M109" s="63"/>
      <c r="N109" s="63"/>
      <c r="O109" s="61">
        <f>SUM(L109:N109)</f>
        <v>1</v>
      </c>
      <c r="P109" s="63"/>
      <c r="Q109" s="63"/>
      <c r="R109" s="63"/>
      <c r="S109" s="61">
        <f>SUM(P109:R109)</f>
        <v>0</v>
      </c>
      <c r="T109" s="63"/>
      <c r="U109" s="63"/>
      <c r="V109" s="63"/>
      <c r="W109" s="61">
        <f>SUM(T109:V109)</f>
        <v>0</v>
      </c>
      <c r="X109" s="63"/>
      <c r="Y109" s="63"/>
      <c r="Z109" s="63"/>
      <c r="AA109" s="61">
        <f>SUM(X109:Z109)</f>
        <v>0</v>
      </c>
      <c r="AB109" s="63"/>
      <c r="AC109" s="63"/>
      <c r="AD109" s="63"/>
      <c r="AE109" s="61">
        <f>SUM(AB109:AD109)</f>
        <v>0</v>
      </c>
      <c r="AF109" s="64">
        <f t="shared" si="15"/>
        <v>2</v>
      </c>
    </row>
    <row r="110" spans="1:32" hidden="1" x14ac:dyDescent="0.35">
      <c r="A110" s="111"/>
      <c r="C110" s="60" t="s">
        <v>228</v>
      </c>
      <c r="D110" s="60">
        <v>3</v>
      </c>
      <c r="E110" s="60"/>
      <c r="F110" s="60"/>
      <c r="G110" s="61">
        <f>SUM(D110:F110)</f>
        <v>3</v>
      </c>
      <c r="H110" s="60"/>
      <c r="I110" s="60"/>
      <c r="J110" s="60"/>
      <c r="K110" s="61">
        <f>SUM(H110:J110)</f>
        <v>0</v>
      </c>
      <c r="L110" s="60"/>
      <c r="M110" s="60"/>
      <c r="N110" s="60"/>
      <c r="O110" s="61">
        <f>SUM(L110:N110)</f>
        <v>0</v>
      </c>
      <c r="P110" s="60"/>
      <c r="Q110" s="60"/>
      <c r="R110" s="60"/>
      <c r="S110" s="61">
        <f>SUM(P110:R110)</f>
        <v>0</v>
      </c>
      <c r="T110" s="60"/>
      <c r="U110" s="60"/>
      <c r="V110" s="60"/>
      <c r="W110" s="61">
        <f>SUM(T110:V110)</f>
        <v>0</v>
      </c>
      <c r="X110" s="60"/>
      <c r="Y110" s="60"/>
      <c r="Z110" s="60"/>
      <c r="AA110" s="61">
        <f>SUM(X110:Z110)</f>
        <v>0</v>
      </c>
      <c r="AB110" s="60"/>
      <c r="AC110" s="60"/>
      <c r="AD110" s="60"/>
      <c r="AE110" s="61">
        <f>SUM(AB110:AD110)</f>
        <v>0</v>
      </c>
      <c r="AF110" s="65">
        <f t="shared" si="15"/>
        <v>3</v>
      </c>
    </row>
    <row r="111" spans="1:32" hidden="1" x14ac:dyDescent="0.35">
      <c r="A111" s="111"/>
      <c r="C111" s="63" t="s">
        <v>235</v>
      </c>
      <c r="D111" s="63">
        <v>5</v>
      </c>
      <c r="E111" s="63"/>
      <c r="F111" s="63"/>
      <c r="G111" s="61">
        <f>SUM(D111:F111)</f>
        <v>5</v>
      </c>
      <c r="H111" s="63"/>
      <c r="I111" s="63"/>
      <c r="J111" s="63"/>
      <c r="K111" s="61">
        <f>SUM(H111:J111)</f>
        <v>0</v>
      </c>
      <c r="L111" s="63"/>
      <c r="M111" s="63"/>
      <c r="N111" s="63"/>
      <c r="O111" s="61">
        <f>SUM(L111:N111)</f>
        <v>0</v>
      </c>
      <c r="P111" s="63"/>
      <c r="Q111" s="63"/>
      <c r="R111" s="63"/>
      <c r="S111" s="61">
        <f>SUM(P111:R111)</f>
        <v>0</v>
      </c>
      <c r="T111" s="63"/>
      <c r="U111" s="63"/>
      <c r="V111" s="63"/>
      <c r="W111" s="61">
        <f>SUM(T111:V111)</f>
        <v>0</v>
      </c>
      <c r="X111" s="63"/>
      <c r="Y111" s="63"/>
      <c r="Z111" s="63"/>
      <c r="AA111" s="61">
        <f>SUM(X111:Z111)</f>
        <v>0</v>
      </c>
      <c r="AB111" s="63"/>
      <c r="AC111" s="63"/>
      <c r="AD111" s="63"/>
      <c r="AE111" s="61">
        <f>SUM(AB111:AD111)</f>
        <v>0</v>
      </c>
      <c r="AF111" s="63">
        <f t="shared" si="15"/>
        <v>5</v>
      </c>
    </row>
    <row r="112" spans="1:32" x14ac:dyDescent="0.35">
      <c r="A112" s="66" t="s">
        <v>277</v>
      </c>
      <c r="B112" s="67" t="s">
        <v>272</v>
      </c>
      <c r="C112" s="66"/>
      <c r="D112" s="66">
        <f t="shared" ref="D112:AE112" si="25">SUM(D108:D111)</f>
        <v>13</v>
      </c>
      <c r="E112" s="66">
        <f t="shared" si="25"/>
        <v>1</v>
      </c>
      <c r="F112" s="66">
        <f t="shared" si="25"/>
        <v>0</v>
      </c>
      <c r="G112" s="61">
        <f t="shared" si="25"/>
        <v>14</v>
      </c>
      <c r="H112" s="66">
        <f t="shared" si="25"/>
        <v>0</v>
      </c>
      <c r="I112" s="66">
        <f t="shared" si="25"/>
        <v>0</v>
      </c>
      <c r="J112" s="66">
        <f t="shared" si="25"/>
        <v>0</v>
      </c>
      <c r="K112" s="61">
        <f t="shared" si="25"/>
        <v>0</v>
      </c>
      <c r="L112" s="66">
        <f t="shared" si="25"/>
        <v>1</v>
      </c>
      <c r="M112" s="66">
        <f t="shared" si="25"/>
        <v>0</v>
      </c>
      <c r="N112" s="66">
        <f t="shared" si="25"/>
        <v>0</v>
      </c>
      <c r="O112" s="61">
        <f t="shared" si="25"/>
        <v>1</v>
      </c>
      <c r="P112" s="66">
        <f t="shared" si="25"/>
        <v>0</v>
      </c>
      <c r="Q112" s="66">
        <f t="shared" si="25"/>
        <v>0</v>
      </c>
      <c r="R112" s="66">
        <f t="shared" si="25"/>
        <v>0</v>
      </c>
      <c r="S112" s="61">
        <f t="shared" si="25"/>
        <v>0</v>
      </c>
      <c r="T112" s="66">
        <f t="shared" si="25"/>
        <v>0</v>
      </c>
      <c r="U112" s="66">
        <f t="shared" si="25"/>
        <v>0</v>
      </c>
      <c r="V112" s="66">
        <f t="shared" si="25"/>
        <v>0</v>
      </c>
      <c r="W112" s="61">
        <f t="shared" si="25"/>
        <v>0</v>
      </c>
      <c r="X112" s="66">
        <f t="shared" si="25"/>
        <v>0</v>
      </c>
      <c r="Y112" s="66">
        <f t="shared" si="25"/>
        <v>0</v>
      </c>
      <c r="Z112" s="66">
        <f t="shared" si="25"/>
        <v>0</v>
      </c>
      <c r="AA112" s="61">
        <f t="shared" si="25"/>
        <v>0</v>
      </c>
      <c r="AB112" s="66">
        <f t="shared" si="25"/>
        <v>0</v>
      </c>
      <c r="AC112" s="66">
        <f t="shared" si="25"/>
        <v>0</v>
      </c>
      <c r="AD112" s="66">
        <f t="shared" si="25"/>
        <v>0</v>
      </c>
      <c r="AE112" s="61">
        <f t="shared" si="25"/>
        <v>0</v>
      </c>
      <c r="AF112" s="68">
        <f t="shared" si="15"/>
        <v>15</v>
      </c>
    </row>
    <row r="113" spans="1:32" hidden="1" x14ac:dyDescent="0.35">
      <c r="A113" s="75" t="s">
        <v>279</v>
      </c>
      <c r="B113" s="54">
        <v>4</v>
      </c>
      <c r="C113" s="60" t="s">
        <v>225</v>
      </c>
      <c r="D113" s="60"/>
      <c r="E113" s="60"/>
      <c r="F113" s="60"/>
      <c r="G113" s="61">
        <f>SUM(D113:F113)</f>
        <v>0</v>
      </c>
      <c r="H113" s="60"/>
      <c r="I113" s="60"/>
      <c r="J113" s="60"/>
      <c r="K113" s="61">
        <f>SUM(H113:J113)</f>
        <v>0</v>
      </c>
      <c r="L113" s="60"/>
      <c r="M113" s="60"/>
      <c r="N113" s="60"/>
      <c r="O113" s="61">
        <f>SUM(L113:N113)</f>
        <v>0</v>
      </c>
      <c r="P113" s="60"/>
      <c r="Q113" s="60"/>
      <c r="R113" s="60"/>
      <c r="S113" s="61">
        <f>SUM(P113:R113)</f>
        <v>0</v>
      </c>
      <c r="T113" s="60"/>
      <c r="U113" s="60"/>
      <c r="V113" s="60"/>
      <c r="W113" s="61">
        <f>SUM(T113:V113)</f>
        <v>0</v>
      </c>
      <c r="X113" s="60"/>
      <c r="Y113" s="60"/>
      <c r="Z113" s="60"/>
      <c r="AA113" s="61">
        <f>SUM(X113:Z113)</f>
        <v>0</v>
      </c>
      <c r="AB113" s="60"/>
      <c r="AC113" s="60"/>
      <c r="AD113" s="60"/>
      <c r="AE113" s="61">
        <f>SUM(AB113:AD113)</f>
        <v>0</v>
      </c>
      <c r="AF113" s="62">
        <f t="shared" si="15"/>
        <v>0</v>
      </c>
    </row>
    <row r="114" spans="1:32" hidden="1" x14ac:dyDescent="0.35">
      <c r="A114" s="111" t="s">
        <v>280</v>
      </c>
      <c r="C114" s="63" t="s">
        <v>227</v>
      </c>
      <c r="D114" s="63"/>
      <c r="E114" s="63"/>
      <c r="F114" s="63"/>
      <c r="G114" s="61">
        <f>SUM(D114:F114)</f>
        <v>0</v>
      </c>
      <c r="H114" s="63"/>
      <c r="I114" s="63"/>
      <c r="J114" s="63"/>
      <c r="K114" s="61">
        <f>SUM(H114:J114)</f>
        <v>0</v>
      </c>
      <c r="L114" s="63"/>
      <c r="M114" s="63"/>
      <c r="N114" s="63"/>
      <c r="O114" s="61">
        <f>SUM(L114:N114)</f>
        <v>0</v>
      </c>
      <c r="P114" s="63"/>
      <c r="Q114" s="63"/>
      <c r="R114" s="63"/>
      <c r="S114" s="61">
        <f>SUM(P114:R114)</f>
        <v>0</v>
      </c>
      <c r="T114" s="63"/>
      <c r="U114" s="63"/>
      <c r="V114" s="63"/>
      <c r="W114" s="61">
        <f>SUM(T114:V114)</f>
        <v>0</v>
      </c>
      <c r="X114" s="63"/>
      <c r="Y114" s="63"/>
      <c r="Z114" s="63"/>
      <c r="AA114" s="61">
        <f>SUM(X114:Z114)</f>
        <v>0</v>
      </c>
      <c r="AB114" s="63"/>
      <c r="AC114" s="63"/>
      <c r="AD114" s="63"/>
      <c r="AE114" s="61">
        <f>SUM(AB114:AD114)</f>
        <v>0</v>
      </c>
      <c r="AF114" s="64">
        <f t="shared" si="15"/>
        <v>0</v>
      </c>
    </row>
    <row r="115" spans="1:32" hidden="1" x14ac:dyDescent="0.35">
      <c r="A115" s="111"/>
      <c r="C115" s="60" t="s">
        <v>228</v>
      </c>
      <c r="D115" s="60"/>
      <c r="E115" s="60"/>
      <c r="F115" s="60"/>
      <c r="G115" s="61">
        <f>SUM(D115:F115)</f>
        <v>0</v>
      </c>
      <c r="H115" s="60"/>
      <c r="I115" s="60"/>
      <c r="J115" s="60"/>
      <c r="K115" s="61">
        <f>SUM(H115:J115)</f>
        <v>0</v>
      </c>
      <c r="L115" s="60"/>
      <c r="M115" s="60"/>
      <c r="N115" s="60"/>
      <c r="O115" s="61">
        <f>SUM(L115:N115)</f>
        <v>0</v>
      </c>
      <c r="P115" s="60"/>
      <c r="Q115" s="60"/>
      <c r="R115" s="60"/>
      <c r="S115" s="61">
        <f>SUM(P115:R115)</f>
        <v>0</v>
      </c>
      <c r="T115" s="60"/>
      <c r="U115" s="60"/>
      <c r="V115" s="60"/>
      <c r="W115" s="61">
        <f>SUM(T115:V115)</f>
        <v>0</v>
      </c>
      <c r="X115" s="60"/>
      <c r="Y115" s="60"/>
      <c r="Z115" s="60"/>
      <c r="AA115" s="61">
        <f>SUM(X115:Z115)</f>
        <v>0</v>
      </c>
      <c r="AB115" s="60"/>
      <c r="AC115" s="60"/>
      <c r="AD115" s="60"/>
      <c r="AE115" s="61">
        <f>SUM(AB115:AD115)</f>
        <v>0</v>
      </c>
      <c r="AF115" s="65">
        <f t="shared" si="15"/>
        <v>0</v>
      </c>
    </row>
    <row r="116" spans="1:32" hidden="1" x14ac:dyDescent="0.35">
      <c r="A116" s="111"/>
      <c r="C116" s="63" t="s">
        <v>235</v>
      </c>
      <c r="D116" s="63">
        <v>1</v>
      </c>
      <c r="E116" s="63"/>
      <c r="F116" s="63"/>
      <c r="G116" s="61">
        <f>SUM(D116:F116)</f>
        <v>1</v>
      </c>
      <c r="H116" s="63"/>
      <c r="I116" s="63"/>
      <c r="J116" s="63"/>
      <c r="K116" s="61">
        <f>SUM(H116:J116)</f>
        <v>0</v>
      </c>
      <c r="L116" s="63"/>
      <c r="M116" s="63"/>
      <c r="N116" s="63"/>
      <c r="O116" s="61">
        <f>SUM(L116:N116)</f>
        <v>0</v>
      </c>
      <c r="P116" s="63"/>
      <c r="Q116" s="63"/>
      <c r="R116" s="63"/>
      <c r="S116" s="61">
        <f>SUM(P116:R116)</f>
        <v>0</v>
      </c>
      <c r="T116" s="63"/>
      <c r="U116" s="63"/>
      <c r="V116" s="63"/>
      <c r="W116" s="61">
        <f>SUM(T116:V116)</f>
        <v>0</v>
      </c>
      <c r="X116" s="63"/>
      <c r="Y116" s="63"/>
      <c r="Z116" s="63"/>
      <c r="AA116" s="61">
        <f>SUM(X116:Z116)</f>
        <v>0</v>
      </c>
      <c r="AB116" s="63"/>
      <c r="AC116" s="63"/>
      <c r="AD116" s="63"/>
      <c r="AE116" s="61">
        <f>SUM(AB116:AD116)</f>
        <v>0</v>
      </c>
      <c r="AF116" s="63">
        <f t="shared" si="15"/>
        <v>1</v>
      </c>
    </row>
    <row r="117" spans="1:32" x14ac:dyDescent="0.35">
      <c r="A117" s="66" t="s">
        <v>279</v>
      </c>
      <c r="B117" s="67">
        <v>4</v>
      </c>
      <c r="C117" s="66"/>
      <c r="D117" s="66">
        <f t="shared" ref="D117:AE117" si="26">SUM(D113:D116)</f>
        <v>1</v>
      </c>
      <c r="E117" s="66">
        <f t="shared" si="26"/>
        <v>0</v>
      </c>
      <c r="F117" s="66">
        <f t="shared" si="26"/>
        <v>0</v>
      </c>
      <c r="G117" s="61">
        <f t="shared" si="26"/>
        <v>1</v>
      </c>
      <c r="H117" s="66">
        <f t="shared" si="26"/>
        <v>0</v>
      </c>
      <c r="I117" s="66">
        <f t="shared" si="26"/>
        <v>0</v>
      </c>
      <c r="J117" s="66">
        <f t="shared" si="26"/>
        <v>0</v>
      </c>
      <c r="K117" s="61">
        <f t="shared" si="26"/>
        <v>0</v>
      </c>
      <c r="L117" s="66">
        <f t="shared" si="26"/>
        <v>0</v>
      </c>
      <c r="M117" s="66">
        <f t="shared" si="26"/>
        <v>0</v>
      </c>
      <c r="N117" s="66">
        <f t="shared" si="26"/>
        <v>0</v>
      </c>
      <c r="O117" s="61">
        <f t="shared" si="26"/>
        <v>0</v>
      </c>
      <c r="P117" s="66">
        <f t="shared" si="26"/>
        <v>0</v>
      </c>
      <c r="Q117" s="66">
        <f t="shared" si="26"/>
        <v>0</v>
      </c>
      <c r="R117" s="66">
        <f t="shared" si="26"/>
        <v>0</v>
      </c>
      <c r="S117" s="61">
        <f t="shared" si="26"/>
        <v>0</v>
      </c>
      <c r="T117" s="66">
        <f t="shared" si="26"/>
        <v>0</v>
      </c>
      <c r="U117" s="66">
        <f t="shared" si="26"/>
        <v>0</v>
      </c>
      <c r="V117" s="66">
        <f t="shared" si="26"/>
        <v>0</v>
      </c>
      <c r="W117" s="61">
        <f t="shared" si="26"/>
        <v>0</v>
      </c>
      <c r="X117" s="66">
        <f t="shared" si="26"/>
        <v>0</v>
      </c>
      <c r="Y117" s="66">
        <f t="shared" si="26"/>
        <v>0</v>
      </c>
      <c r="Z117" s="66">
        <f t="shared" si="26"/>
        <v>0</v>
      </c>
      <c r="AA117" s="61">
        <f t="shared" si="26"/>
        <v>0</v>
      </c>
      <c r="AB117" s="66">
        <f t="shared" si="26"/>
        <v>0</v>
      </c>
      <c r="AC117" s="66">
        <f t="shared" si="26"/>
        <v>0</v>
      </c>
      <c r="AD117" s="66">
        <f t="shared" si="26"/>
        <v>0</v>
      </c>
      <c r="AE117" s="61">
        <f t="shared" si="26"/>
        <v>0</v>
      </c>
      <c r="AF117" s="68">
        <f t="shared" si="15"/>
        <v>1</v>
      </c>
    </row>
    <row r="118" spans="1:32" hidden="1" x14ac:dyDescent="0.35">
      <c r="A118" s="59" t="s">
        <v>281</v>
      </c>
      <c r="B118" s="54">
        <v>14</v>
      </c>
      <c r="C118" s="60" t="s">
        <v>225</v>
      </c>
      <c r="D118" s="60">
        <v>1</v>
      </c>
      <c r="E118" s="60"/>
      <c r="F118" s="60"/>
      <c r="G118" s="61">
        <f>SUM(D118:F118)</f>
        <v>1</v>
      </c>
      <c r="H118" s="60"/>
      <c r="I118" s="60"/>
      <c r="J118" s="60"/>
      <c r="K118" s="61">
        <f>SUM(H118:J118)</f>
        <v>0</v>
      </c>
      <c r="L118" s="60"/>
      <c r="M118" s="60">
        <v>1</v>
      </c>
      <c r="N118" s="60"/>
      <c r="O118" s="61">
        <f>SUM(L118:N118)</f>
        <v>1</v>
      </c>
      <c r="P118" s="60"/>
      <c r="Q118" s="60"/>
      <c r="R118" s="60"/>
      <c r="S118" s="61">
        <f>SUM(P118:R118)</f>
        <v>0</v>
      </c>
      <c r="T118" s="60"/>
      <c r="U118" s="60"/>
      <c r="V118" s="60"/>
      <c r="W118" s="61">
        <f>SUM(T118:V118)</f>
        <v>0</v>
      </c>
      <c r="X118" s="60"/>
      <c r="Y118" s="60"/>
      <c r="Z118" s="60"/>
      <c r="AA118" s="61">
        <f>SUM(X118:Z118)</f>
        <v>0</v>
      </c>
      <c r="AB118" s="60">
        <v>18</v>
      </c>
      <c r="AC118" s="60"/>
      <c r="AD118" s="60">
        <v>1</v>
      </c>
      <c r="AE118" s="61">
        <f>SUM(AB118:AD118)</f>
        <v>19</v>
      </c>
      <c r="AF118" s="62">
        <f t="shared" si="15"/>
        <v>21</v>
      </c>
    </row>
    <row r="119" spans="1:32" hidden="1" x14ac:dyDescent="0.35">
      <c r="A119" s="111" t="s">
        <v>282</v>
      </c>
      <c r="C119" s="63" t="s">
        <v>239</v>
      </c>
      <c r="D119" s="63">
        <v>1</v>
      </c>
      <c r="E119" s="63">
        <v>1</v>
      </c>
      <c r="F119" s="63">
        <v>3</v>
      </c>
      <c r="G119" s="61">
        <f>SUM(D119:F119)</f>
        <v>5</v>
      </c>
      <c r="H119" s="63"/>
      <c r="I119" s="63"/>
      <c r="J119" s="63"/>
      <c r="K119" s="61">
        <f>SUM(H119:J119)</f>
        <v>0</v>
      </c>
      <c r="L119" s="63"/>
      <c r="M119" s="63"/>
      <c r="N119" s="63"/>
      <c r="O119" s="61">
        <f>SUM(L119:N119)</f>
        <v>0</v>
      </c>
      <c r="P119" s="63"/>
      <c r="Q119" s="63"/>
      <c r="R119" s="63"/>
      <c r="S119" s="61">
        <f>SUM(P119:R119)</f>
        <v>0</v>
      </c>
      <c r="T119" s="63"/>
      <c r="U119" s="63"/>
      <c r="V119" s="63"/>
      <c r="W119" s="61">
        <f>SUM(T119:V119)</f>
        <v>0</v>
      </c>
      <c r="X119" s="63"/>
      <c r="Y119" s="63"/>
      <c r="Z119" s="63"/>
      <c r="AA119" s="61">
        <f>SUM(X119:Z119)</f>
        <v>0</v>
      </c>
      <c r="AB119" s="63">
        <v>12</v>
      </c>
      <c r="AC119" s="63">
        <v>2</v>
      </c>
      <c r="AD119" s="63">
        <v>1</v>
      </c>
      <c r="AE119" s="61">
        <f>SUM(AB119:AD119)</f>
        <v>15</v>
      </c>
      <c r="AF119" s="64">
        <f t="shared" si="15"/>
        <v>20</v>
      </c>
    </row>
    <row r="120" spans="1:32" hidden="1" x14ac:dyDescent="0.35">
      <c r="A120" s="111"/>
      <c r="C120" s="60" t="s">
        <v>228</v>
      </c>
      <c r="D120" s="60">
        <v>1</v>
      </c>
      <c r="E120" s="60"/>
      <c r="F120" s="60"/>
      <c r="G120" s="61">
        <f>SUM(D120:F120)</f>
        <v>1</v>
      </c>
      <c r="H120" s="60"/>
      <c r="I120" s="60"/>
      <c r="J120" s="60"/>
      <c r="K120" s="61">
        <f>SUM(H120:J120)</f>
        <v>0</v>
      </c>
      <c r="L120" s="60"/>
      <c r="M120" s="60"/>
      <c r="N120" s="60"/>
      <c r="O120" s="61">
        <f>SUM(L120:N120)</f>
        <v>0</v>
      </c>
      <c r="P120" s="60"/>
      <c r="Q120" s="60"/>
      <c r="R120" s="60"/>
      <c r="S120" s="61">
        <f>SUM(P120:R120)</f>
        <v>0</v>
      </c>
      <c r="T120" s="60"/>
      <c r="U120" s="60"/>
      <c r="V120" s="60"/>
      <c r="W120" s="61">
        <f>SUM(T120:V120)</f>
        <v>0</v>
      </c>
      <c r="X120" s="60"/>
      <c r="Y120" s="60"/>
      <c r="Z120" s="60"/>
      <c r="AA120" s="61">
        <f>SUM(X120:Z120)</f>
        <v>0</v>
      </c>
      <c r="AB120" s="60">
        <v>4</v>
      </c>
      <c r="AC120" s="60"/>
      <c r="AD120" s="60">
        <v>1</v>
      </c>
      <c r="AE120" s="61">
        <f>SUM(AB120:AD120)</f>
        <v>5</v>
      </c>
      <c r="AF120" s="65">
        <f t="shared" si="15"/>
        <v>6</v>
      </c>
    </row>
    <row r="121" spans="1:32" hidden="1" x14ac:dyDescent="0.35">
      <c r="A121" s="111"/>
      <c r="C121" s="63" t="s">
        <v>235</v>
      </c>
      <c r="D121" s="63"/>
      <c r="E121" s="63">
        <v>1</v>
      </c>
      <c r="F121" s="63"/>
      <c r="G121" s="61">
        <f>SUM(D121:F121)</f>
        <v>1</v>
      </c>
      <c r="H121" s="63"/>
      <c r="I121" s="63"/>
      <c r="J121" s="63"/>
      <c r="K121" s="61">
        <f>SUM(H121:J121)</f>
        <v>0</v>
      </c>
      <c r="L121" s="63"/>
      <c r="M121" s="63"/>
      <c r="N121" s="63"/>
      <c r="O121" s="61">
        <f>SUM(L121:N121)</f>
        <v>0</v>
      </c>
      <c r="P121" s="63"/>
      <c r="Q121" s="63"/>
      <c r="R121" s="63"/>
      <c r="S121" s="61">
        <f>SUM(P121:R121)</f>
        <v>0</v>
      </c>
      <c r="T121" s="63"/>
      <c r="U121" s="63"/>
      <c r="V121" s="63"/>
      <c r="W121" s="61">
        <f>SUM(T121:V121)</f>
        <v>0</v>
      </c>
      <c r="X121" s="63"/>
      <c r="Y121" s="63"/>
      <c r="Z121" s="63"/>
      <c r="AA121" s="61">
        <f>SUM(X121:Z121)</f>
        <v>0</v>
      </c>
      <c r="AB121" s="63">
        <v>6</v>
      </c>
      <c r="AC121" s="63"/>
      <c r="AD121" s="63"/>
      <c r="AE121" s="61">
        <f>SUM(AB121:AD121)</f>
        <v>6</v>
      </c>
      <c r="AF121" s="63">
        <f t="shared" si="15"/>
        <v>7</v>
      </c>
    </row>
    <row r="122" spans="1:32" hidden="1" x14ac:dyDescent="0.35">
      <c r="A122" s="66" t="s">
        <v>282</v>
      </c>
      <c r="B122" s="67"/>
      <c r="C122" s="66"/>
      <c r="D122" s="66">
        <f t="shared" ref="D122:AE122" si="27">SUM(D118:D121)</f>
        <v>3</v>
      </c>
      <c r="E122" s="66">
        <f t="shared" si="27"/>
        <v>2</v>
      </c>
      <c r="F122" s="66">
        <f t="shared" si="27"/>
        <v>3</v>
      </c>
      <c r="G122" s="61">
        <f t="shared" si="27"/>
        <v>8</v>
      </c>
      <c r="H122" s="66">
        <f t="shared" si="27"/>
        <v>0</v>
      </c>
      <c r="I122" s="66">
        <f t="shared" si="27"/>
        <v>0</v>
      </c>
      <c r="J122" s="66">
        <f t="shared" si="27"/>
        <v>0</v>
      </c>
      <c r="K122" s="61">
        <f t="shared" si="27"/>
        <v>0</v>
      </c>
      <c r="L122" s="66">
        <f t="shared" si="27"/>
        <v>0</v>
      </c>
      <c r="M122" s="66">
        <f t="shared" si="27"/>
        <v>1</v>
      </c>
      <c r="N122" s="66">
        <f t="shared" si="27"/>
        <v>0</v>
      </c>
      <c r="O122" s="61">
        <f t="shared" si="27"/>
        <v>1</v>
      </c>
      <c r="P122" s="66">
        <f t="shared" si="27"/>
        <v>0</v>
      </c>
      <c r="Q122" s="66">
        <f t="shared" si="27"/>
        <v>0</v>
      </c>
      <c r="R122" s="66">
        <f t="shared" si="27"/>
        <v>0</v>
      </c>
      <c r="S122" s="61">
        <f t="shared" si="27"/>
        <v>0</v>
      </c>
      <c r="T122" s="66">
        <f t="shared" si="27"/>
        <v>0</v>
      </c>
      <c r="U122" s="66">
        <f t="shared" si="27"/>
        <v>0</v>
      </c>
      <c r="V122" s="66">
        <f t="shared" si="27"/>
        <v>0</v>
      </c>
      <c r="W122" s="61">
        <f t="shared" si="27"/>
        <v>0</v>
      </c>
      <c r="X122" s="66">
        <f t="shared" si="27"/>
        <v>0</v>
      </c>
      <c r="Y122" s="66">
        <f t="shared" si="27"/>
        <v>0</v>
      </c>
      <c r="Z122" s="66">
        <f t="shared" si="27"/>
        <v>0</v>
      </c>
      <c r="AA122" s="61">
        <f t="shared" si="27"/>
        <v>0</v>
      </c>
      <c r="AB122" s="66">
        <f t="shared" si="27"/>
        <v>40</v>
      </c>
      <c r="AC122" s="66">
        <f t="shared" si="27"/>
        <v>2</v>
      </c>
      <c r="AD122" s="66">
        <f t="shared" si="27"/>
        <v>3</v>
      </c>
      <c r="AE122" s="61">
        <f t="shared" si="27"/>
        <v>45</v>
      </c>
      <c r="AF122" s="68">
        <f t="shared" si="15"/>
        <v>54</v>
      </c>
    </row>
    <row r="123" spans="1:32" ht="15" hidden="1" customHeight="1" x14ac:dyDescent="0.35">
      <c r="A123" s="111" t="s">
        <v>260</v>
      </c>
      <c r="C123" s="60" t="s">
        <v>225</v>
      </c>
      <c r="D123" s="60">
        <v>9</v>
      </c>
      <c r="E123" s="60"/>
      <c r="F123" s="60">
        <v>3</v>
      </c>
      <c r="G123" s="61">
        <f>SUM(D123:F123)</f>
        <v>12</v>
      </c>
      <c r="H123" s="60"/>
      <c r="I123" s="60"/>
      <c r="J123" s="60"/>
      <c r="K123" s="61">
        <f>SUM(H123:J123)</f>
        <v>0</v>
      </c>
      <c r="L123" s="60">
        <v>2</v>
      </c>
      <c r="M123" s="60"/>
      <c r="N123" s="60"/>
      <c r="O123" s="61">
        <f>SUM(L123:N123)</f>
        <v>2</v>
      </c>
      <c r="P123" s="60"/>
      <c r="Q123" s="60"/>
      <c r="R123" s="60"/>
      <c r="S123" s="61">
        <f>SUM(P123:R123)</f>
        <v>0</v>
      </c>
      <c r="T123" s="60"/>
      <c r="U123" s="60"/>
      <c r="V123" s="60"/>
      <c r="W123" s="61">
        <f>SUM(T123:V123)</f>
        <v>0</v>
      </c>
      <c r="X123" s="60"/>
      <c r="Y123" s="60">
        <v>2</v>
      </c>
      <c r="Z123" s="60"/>
      <c r="AA123" s="61">
        <f>SUM(X123:Z123)</f>
        <v>2</v>
      </c>
      <c r="AB123" s="60"/>
      <c r="AC123" s="60"/>
      <c r="AD123" s="60"/>
      <c r="AE123" s="61">
        <f>SUM(AB123:AD123)</f>
        <v>0</v>
      </c>
      <c r="AF123" s="62">
        <f t="shared" si="15"/>
        <v>16</v>
      </c>
    </row>
    <row r="124" spans="1:32" hidden="1" x14ac:dyDescent="0.35">
      <c r="A124" s="111"/>
      <c r="C124" s="63" t="s">
        <v>227</v>
      </c>
      <c r="D124" s="63">
        <v>17</v>
      </c>
      <c r="E124" s="63"/>
      <c r="F124" s="63">
        <v>7</v>
      </c>
      <c r="G124" s="61">
        <f>SUM(D124:F124)</f>
        <v>24</v>
      </c>
      <c r="H124" s="63"/>
      <c r="I124" s="63"/>
      <c r="J124" s="63"/>
      <c r="K124" s="61">
        <f>SUM(H124:J124)</f>
        <v>0</v>
      </c>
      <c r="L124" s="63"/>
      <c r="M124" s="63">
        <v>1</v>
      </c>
      <c r="N124" s="63"/>
      <c r="O124" s="61">
        <f>SUM(L124:N124)</f>
        <v>1</v>
      </c>
      <c r="P124" s="63"/>
      <c r="Q124" s="63"/>
      <c r="R124" s="63"/>
      <c r="S124" s="61">
        <f>SUM(P124:R124)</f>
        <v>0</v>
      </c>
      <c r="T124" s="63"/>
      <c r="U124" s="63"/>
      <c r="V124" s="63"/>
      <c r="W124" s="61">
        <f>SUM(T124:V124)</f>
        <v>0</v>
      </c>
      <c r="X124" s="63"/>
      <c r="Y124" s="63"/>
      <c r="Z124" s="63"/>
      <c r="AA124" s="61">
        <f>SUM(X124:Z124)</f>
        <v>0</v>
      </c>
      <c r="AB124" s="63">
        <v>15</v>
      </c>
      <c r="AC124" s="63"/>
      <c r="AD124" s="63"/>
      <c r="AE124" s="61">
        <f>SUM(AB124:AD124)</f>
        <v>15</v>
      </c>
      <c r="AF124" s="64">
        <f t="shared" si="15"/>
        <v>40</v>
      </c>
    </row>
    <row r="125" spans="1:32" hidden="1" x14ac:dyDescent="0.35">
      <c r="A125" s="111"/>
      <c r="C125" s="60" t="s">
        <v>228</v>
      </c>
      <c r="D125" s="60">
        <v>8</v>
      </c>
      <c r="E125" s="60">
        <v>1</v>
      </c>
      <c r="F125" s="60">
        <v>2</v>
      </c>
      <c r="G125" s="61">
        <f>SUM(D125:F125)</f>
        <v>11</v>
      </c>
      <c r="H125" s="60"/>
      <c r="I125" s="60"/>
      <c r="J125" s="60"/>
      <c r="K125" s="61">
        <f>SUM(H125:J125)</f>
        <v>0</v>
      </c>
      <c r="L125" s="60">
        <v>5</v>
      </c>
      <c r="M125" s="60"/>
      <c r="N125" s="60">
        <v>5</v>
      </c>
      <c r="O125" s="61">
        <f>SUM(L125:N125)</f>
        <v>10</v>
      </c>
      <c r="P125" s="60"/>
      <c r="Q125" s="60"/>
      <c r="R125" s="60"/>
      <c r="S125" s="61">
        <f>SUM(P125:R125)</f>
        <v>0</v>
      </c>
      <c r="T125" s="60"/>
      <c r="U125" s="60"/>
      <c r="V125" s="60"/>
      <c r="W125" s="61">
        <f>SUM(T125:V125)</f>
        <v>0</v>
      </c>
      <c r="X125" s="60">
        <v>6</v>
      </c>
      <c r="Y125" s="60"/>
      <c r="Z125" s="60"/>
      <c r="AA125" s="61">
        <f>SUM(X125:Z125)</f>
        <v>6</v>
      </c>
      <c r="AB125" s="60">
        <v>5</v>
      </c>
      <c r="AC125" s="60"/>
      <c r="AD125" s="60"/>
      <c r="AE125" s="61">
        <f>SUM(AB125:AD125)</f>
        <v>5</v>
      </c>
      <c r="AF125" s="65">
        <f t="shared" si="15"/>
        <v>32</v>
      </c>
    </row>
    <row r="126" spans="1:32" hidden="1" x14ac:dyDescent="0.35">
      <c r="A126" s="111"/>
      <c r="C126" s="63" t="s">
        <v>235</v>
      </c>
      <c r="D126" s="63">
        <v>10</v>
      </c>
      <c r="E126" s="63"/>
      <c r="F126" s="63"/>
      <c r="G126" s="61">
        <f>SUM(D126:F126)</f>
        <v>10</v>
      </c>
      <c r="H126" s="63"/>
      <c r="I126" s="63"/>
      <c r="J126" s="63"/>
      <c r="K126" s="61">
        <f>SUM(H126:J126)</f>
        <v>0</v>
      </c>
      <c r="L126" s="63">
        <v>7</v>
      </c>
      <c r="M126" s="63"/>
      <c r="N126" s="63"/>
      <c r="O126" s="61">
        <f>SUM(L126:N126)</f>
        <v>7</v>
      </c>
      <c r="P126" s="63"/>
      <c r="Q126" s="63"/>
      <c r="R126" s="63"/>
      <c r="S126" s="61">
        <f>SUM(P126:R126)</f>
        <v>0</v>
      </c>
      <c r="T126" s="63"/>
      <c r="U126" s="63"/>
      <c r="V126" s="63"/>
      <c r="W126" s="61">
        <f>SUM(T126:V126)</f>
        <v>0</v>
      </c>
      <c r="X126" s="63"/>
      <c r="Y126" s="63"/>
      <c r="Z126" s="63"/>
      <c r="AA126" s="61">
        <f>SUM(X126:Z126)</f>
        <v>0</v>
      </c>
      <c r="AB126" s="63">
        <v>7</v>
      </c>
      <c r="AC126" s="63"/>
      <c r="AD126" s="63"/>
      <c r="AE126" s="61">
        <f>SUM(AB126:AD126)</f>
        <v>7</v>
      </c>
      <c r="AF126" s="63">
        <f t="shared" si="15"/>
        <v>24</v>
      </c>
    </row>
    <row r="127" spans="1:32" hidden="1" x14ac:dyDescent="0.35">
      <c r="A127" s="66" t="s">
        <v>260</v>
      </c>
      <c r="B127" s="67"/>
      <c r="C127" s="66"/>
      <c r="D127" s="66">
        <f t="shared" ref="D127:AE127" si="28">SUM(D123:D126)</f>
        <v>44</v>
      </c>
      <c r="E127" s="66">
        <f t="shared" si="28"/>
        <v>1</v>
      </c>
      <c r="F127" s="66">
        <f t="shared" si="28"/>
        <v>12</v>
      </c>
      <c r="G127" s="61">
        <f t="shared" si="28"/>
        <v>57</v>
      </c>
      <c r="H127" s="66">
        <f t="shared" si="28"/>
        <v>0</v>
      </c>
      <c r="I127" s="66">
        <f t="shared" si="28"/>
        <v>0</v>
      </c>
      <c r="J127" s="66">
        <f t="shared" si="28"/>
        <v>0</v>
      </c>
      <c r="K127" s="61">
        <f t="shared" si="28"/>
        <v>0</v>
      </c>
      <c r="L127" s="66">
        <f t="shared" si="28"/>
        <v>14</v>
      </c>
      <c r="M127" s="66">
        <f t="shared" si="28"/>
        <v>1</v>
      </c>
      <c r="N127" s="66">
        <f t="shared" si="28"/>
        <v>5</v>
      </c>
      <c r="O127" s="61">
        <f t="shared" si="28"/>
        <v>20</v>
      </c>
      <c r="P127" s="66">
        <f t="shared" si="28"/>
        <v>0</v>
      </c>
      <c r="Q127" s="66">
        <f t="shared" si="28"/>
        <v>0</v>
      </c>
      <c r="R127" s="66">
        <f t="shared" si="28"/>
        <v>0</v>
      </c>
      <c r="S127" s="61">
        <f t="shared" si="28"/>
        <v>0</v>
      </c>
      <c r="T127" s="66">
        <f t="shared" si="28"/>
        <v>0</v>
      </c>
      <c r="U127" s="66">
        <f t="shared" si="28"/>
        <v>0</v>
      </c>
      <c r="V127" s="66">
        <f t="shared" si="28"/>
        <v>0</v>
      </c>
      <c r="W127" s="61">
        <f t="shared" si="28"/>
        <v>0</v>
      </c>
      <c r="X127" s="66">
        <f t="shared" si="28"/>
        <v>6</v>
      </c>
      <c r="Y127" s="66">
        <f t="shared" si="28"/>
        <v>2</v>
      </c>
      <c r="Z127" s="66">
        <f t="shared" si="28"/>
        <v>0</v>
      </c>
      <c r="AA127" s="61">
        <f t="shared" si="28"/>
        <v>8</v>
      </c>
      <c r="AB127" s="66">
        <f t="shared" si="28"/>
        <v>27</v>
      </c>
      <c r="AC127" s="66">
        <f t="shared" si="28"/>
        <v>0</v>
      </c>
      <c r="AD127" s="66">
        <f t="shared" si="28"/>
        <v>0</v>
      </c>
      <c r="AE127" s="61">
        <f t="shared" si="28"/>
        <v>27</v>
      </c>
      <c r="AF127" s="68">
        <f t="shared" si="15"/>
        <v>112</v>
      </c>
    </row>
    <row r="128" spans="1:32" x14ac:dyDescent="0.35">
      <c r="A128" s="66" t="s">
        <v>281</v>
      </c>
      <c r="B128" s="67">
        <v>14</v>
      </c>
      <c r="C128" s="66"/>
      <c r="D128" s="66">
        <f t="shared" ref="D128:AE128" si="29">SUM(D127,D122)</f>
        <v>47</v>
      </c>
      <c r="E128" s="66">
        <f t="shared" si="29"/>
        <v>3</v>
      </c>
      <c r="F128" s="66">
        <f t="shared" si="29"/>
        <v>15</v>
      </c>
      <c r="G128" s="61">
        <f t="shared" si="29"/>
        <v>65</v>
      </c>
      <c r="H128" s="66">
        <f t="shared" si="29"/>
        <v>0</v>
      </c>
      <c r="I128" s="66">
        <f t="shared" si="29"/>
        <v>0</v>
      </c>
      <c r="J128" s="66">
        <f t="shared" si="29"/>
        <v>0</v>
      </c>
      <c r="K128" s="61">
        <f t="shared" si="29"/>
        <v>0</v>
      </c>
      <c r="L128" s="66">
        <f t="shared" si="29"/>
        <v>14</v>
      </c>
      <c r="M128" s="66">
        <f t="shared" si="29"/>
        <v>2</v>
      </c>
      <c r="N128" s="66">
        <f t="shared" si="29"/>
        <v>5</v>
      </c>
      <c r="O128" s="61">
        <f t="shared" si="29"/>
        <v>21</v>
      </c>
      <c r="P128" s="66">
        <f t="shared" si="29"/>
        <v>0</v>
      </c>
      <c r="Q128" s="66">
        <f t="shared" si="29"/>
        <v>0</v>
      </c>
      <c r="R128" s="66">
        <f t="shared" si="29"/>
        <v>0</v>
      </c>
      <c r="S128" s="61">
        <f t="shared" si="29"/>
        <v>0</v>
      </c>
      <c r="T128" s="66">
        <f t="shared" si="29"/>
        <v>0</v>
      </c>
      <c r="U128" s="66">
        <f t="shared" si="29"/>
        <v>0</v>
      </c>
      <c r="V128" s="66">
        <f t="shared" si="29"/>
        <v>0</v>
      </c>
      <c r="W128" s="61">
        <f t="shared" si="29"/>
        <v>0</v>
      </c>
      <c r="X128" s="66">
        <f t="shared" si="29"/>
        <v>6</v>
      </c>
      <c r="Y128" s="66">
        <f t="shared" si="29"/>
        <v>2</v>
      </c>
      <c r="Z128" s="66">
        <f t="shared" si="29"/>
        <v>0</v>
      </c>
      <c r="AA128" s="61">
        <f t="shared" si="29"/>
        <v>8</v>
      </c>
      <c r="AB128" s="66">
        <f t="shared" si="29"/>
        <v>67</v>
      </c>
      <c r="AC128" s="66">
        <f t="shared" si="29"/>
        <v>2</v>
      </c>
      <c r="AD128" s="66">
        <f t="shared" si="29"/>
        <v>3</v>
      </c>
      <c r="AE128" s="61">
        <f t="shared" si="29"/>
        <v>72</v>
      </c>
      <c r="AF128" s="68">
        <f t="shared" si="15"/>
        <v>166</v>
      </c>
    </row>
    <row r="129" spans="1:32" hidden="1" x14ac:dyDescent="0.35">
      <c r="A129" s="59" t="s">
        <v>283</v>
      </c>
      <c r="B129" s="54">
        <v>7</v>
      </c>
      <c r="C129" s="60" t="s">
        <v>225</v>
      </c>
      <c r="D129" s="60"/>
      <c r="E129" s="60"/>
      <c r="F129" s="60"/>
      <c r="G129" s="61">
        <f>SUM(D129:F129)</f>
        <v>0</v>
      </c>
      <c r="H129" s="60"/>
      <c r="I129" s="60"/>
      <c r="J129" s="60"/>
      <c r="K129" s="61">
        <f>SUM(H129:J129)</f>
        <v>0</v>
      </c>
      <c r="L129" s="60">
        <v>2</v>
      </c>
      <c r="M129" s="60">
        <v>3</v>
      </c>
      <c r="N129" s="60"/>
      <c r="O129" s="61">
        <f>SUM(L129:N129)</f>
        <v>5</v>
      </c>
      <c r="P129" s="60"/>
      <c r="Q129" s="60"/>
      <c r="R129" s="60"/>
      <c r="S129" s="61">
        <f>SUM(P129:R129)</f>
        <v>0</v>
      </c>
      <c r="T129" s="60"/>
      <c r="U129" s="60"/>
      <c r="V129" s="60"/>
      <c r="W129" s="61">
        <f>SUM(T129:V129)</f>
        <v>0</v>
      </c>
      <c r="X129" s="60"/>
      <c r="Y129" s="60"/>
      <c r="Z129" s="60"/>
      <c r="AA129" s="61">
        <f>SUM(X129:Z129)</f>
        <v>0</v>
      </c>
      <c r="AB129" s="60"/>
      <c r="AC129" s="60"/>
      <c r="AD129" s="60"/>
      <c r="AE129" s="61">
        <f>SUM(AB129:AD129)</f>
        <v>0</v>
      </c>
      <c r="AF129" s="62">
        <f t="shared" si="15"/>
        <v>5</v>
      </c>
    </row>
    <row r="130" spans="1:32" hidden="1" x14ac:dyDescent="0.35">
      <c r="A130" s="111" t="s">
        <v>284</v>
      </c>
      <c r="C130" s="63" t="s">
        <v>227</v>
      </c>
      <c r="D130" s="63"/>
      <c r="E130" s="63"/>
      <c r="F130" s="63"/>
      <c r="G130" s="61">
        <f>SUM(D130:F130)</f>
        <v>0</v>
      </c>
      <c r="H130" s="63"/>
      <c r="I130" s="63"/>
      <c r="J130" s="63"/>
      <c r="K130" s="61">
        <f>SUM(H130:J130)</f>
        <v>0</v>
      </c>
      <c r="L130" s="63"/>
      <c r="M130" s="63">
        <v>1</v>
      </c>
      <c r="N130" s="63"/>
      <c r="O130" s="61">
        <f>SUM(L130:N130)</f>
        <v>1</v>
      </c>
      <c r="P130" s="63"/>
      <c r="Q130" s="63"/>
      <c r="R130" s="63"/>
      <c r="S130" s="61">
        <f>SUM(P130:R130)</f>
        <v>0</v>
      </c>
      <c r="T130" s="63"/>
      <c r="U130" s="63"/>
      <c r="V130" s="63"/>
      <c r="W130" s="61">
        <f>SUM(T130:V130)</f>
        <v>0</v>
      </c>
      <c r="X130" s="63"/>
      <c r="Y130" s="63"/>
      <c r="Z130" s="63"/>
      <c r="AA130" s="61">
        <f>SUM(X130:Z130)</f>
        <v>0</v>
      </c>
      <c r="AB130" s="63"/>
      <c r="AC130" s="63"/>
      <c r="AD130" s="63"/>
      <c r="AE130" s="61">
        <f>SUM(AB130:AD130)</f>
        <v>0</v>
      </c>
      <c r="AF130" s="64">
        <f t="shared" si="15"/>
        <v>1</v>
      </c>
    </row>
    <row r="131" spans="1:32" hidden="1" x14ac:dyDescent="0.35">
      <c r="A131" s="111"/>
      <c r="C131" s="60" t="s">
        <v>228</v>
      </c>
      <c r="D131" s="60">
        <v>2</v>
      </c>
      <c r="E131" s="60"/>
      <c r="F131" s="60"/>
      <c r="G131" s="61">
        <f>SUM(D131:F131)</f>
        <v>2</v>
      </c>
      <c r="H131" s="60"/>
      <c r="I131" s="60"/>
      <c r="J131" s="60"/>
      <c r="K131" s="61">
        <f>SUM(H131:J131)</f>
        <v>0</v>
      </c>
      <c r="L131" s="60"/>
      <c r="M131" s="60">
        <v>1</v>
      </c>
      <c r="N131" s="60"/>
      <c r="O131" s="61">
        <f>SUM(L131:N131)</f>
        <v>1</v>
      </c>
      <c r="P131" s="60"/>
      <c r="Q131" s="60"/>
      <c r="R131" s="60"/>
      <c r="S131" s="61">
        <f>SUM(P131:R131)</f>
        <v>0</v>
      </c>
      <c r="T131" s="60"/>
      <c r="U131" s="60"/>
      <c r="V131" s="60"/>
      <c r="W131" s="61">
        <f>SUM(T131:V131)</f>
        <v>0</v>
      </c>
      <c r="X131" s="60"/>
      <c r="Y131" s="60"/>
      <c r="Z131" s="60"/>
      <c r="AA131" s="61">
        <f>SUM(X131:Z131)</f>
        <v>0</v>
      </c>
      <c r="AB131" s="60"/>
      <c r="AC131" s="60"/>
      <c r="AD131" s="60"/>
      <c r="AE131" s="61">
        <f>SUM(AB131:AD131)</f>
        <v>0</v>
      </c>
      <c r="AF131" s="65">
        <f t="shared" si="15"/>
        <v>3</v>
      </c>
    </row>
    <row r="132" spans="1:32" hidden="1" x14ac:dyDescent="0.35">
      <c r="A132" s="111"/>
      <c r="C132" s="63" t="s">
        <v>235</v>
      </c>
      <c r="D132" s="63">
        <v>3</v>
      </c>
      <c r="E132" s="63"/>
      <c r="F132" s="63"/>
      <c r="G132" s="61">
        <f>SUM(D132:F132)</f>
        <v>3</v>
      </c>
      <c r="H132" s="63"/>
      <c r="I132" s="63"/>
      <c r="J132" s="63"/>
      <c r="K132" s="61">
        <f>SUM(H132:J132)</f>
        <v>0</v>
      </c>
      <c r="L132" s="63">
        <v>3</v>
      </c>
      <c r="M132" s="63"/>
      <c r="N132" s="63"/>
      <c r="O132" s="61">
        <f>SUM(L132:N132)</f>
        <v>3</v>
      </c>
      <c r="P132" s="63"/>
      <c r="Q132" s="63"/>
      <c r="R132" s="63"/>
      <c r="S132" s="61">
        <f>SUM(P132:R132)</f>
        <v>0</v>
      </c>
      <c r="T132" s="63"/>
      <c r="U132" s="63"/>
      <c r="V132" s="63"/>
      <c r="W132" s="61">
        <f>SUM(T132:V132)</f>
        <v>0</v>
      </c>
      <c r="X132" s="63"/>
      <c r="Y132" s="63"/>
      <c r="Z132" s="63"/>
      <c r="AA132" s="61">
        <f>SUM(X132:Z132)</f>
        <v>0</v>
      </c>
      <c r="AB132" s="63"/>
      <c r="AC132" s="63"/>
      <c r="AD132" s="63"/>
      <c r="AE132" s="61">
        <f>SUM(AB132:AD132)</f>
        <v>0</v>
      </c>
      <c r="AF132" s="63">
        <f t="shared" ref="AF132:AF195" si="30">SUM(G132,K132,O132,S132,W132,AA132,AE132)</f>
        <v>6</v>
      </c>
    </row>
    <row r="133" spans="1:32" x14ac:dyDescent="0.35">
      <c r="A133" s="66" t="s">
        <v>283</v>
      </c>
      <c r="B133" s="67">
        <v>7</v>
      </c>
      <c r="C133" s="66"/>
      <c r="D133" s="66">
        <f t="shared" ref="D133:AE133" si="31">SUM(D129:D132)</f>
        <v>5</v>
      </c>
      <c r="E133" s="66">
        <f t="shared" si="31"/>
        <v>0</v>
      </c>
      <c r="F133" s="66">
        <f t="shared" si="31"/>
        <v>0</v>
      </c>
      <c r="G133" s="61">
        <f t="shared" si="31"/>
        <v>5</v>
      </c>
      <c r="H133" s="66">
        <f t="shared" si="31"/>
        <v>0</v>
      </c>
      <c r="I133" s="66">
        <f t="shared" si="31"/>
        <v>0</v>
      </c>
      <c r="J133" s="66">
        <f t="shared" si="31"/>
        <v>0</v>
      </c>
      <c r="K133" s="61">
        <f t="shared" si="31"/>
        <v>0</v>
      </c>
      <c r="L133" s="66">
        <f t="shared" si="31"/>
        <v>5</v>
      </c>
      <c r="M133" s="66">
        <f t="shared" si="31"/>
        <v>5</v>
      </c>
      <c r="N133" s="66">
        <f t="shared" si="31"/>
        <v>0</v>
      </c>
      <c r="O133" s="61">
        <f t="shared" si="31"/>
        <v>10</v>
      </c>
      <c r="P133" s="66">
        <f t="shared" si="31"/>
        <v>0</v>
      </c>
      <c r="Q133" s="66">
        <f t="shared" si="31"/>
        <v>0</v>
      </c>
      <c r="R133" s="66">
        <f t="shared" si="31"/>
        <v>0</v>
      </c>
      <c r="S133" s="61">
        <f t="shared" si="31"/>
        <v>0</v>
      </c>
      <c r="T133" s="66">
        <f t="shared" si="31"/>
        <v>0</v>
      </c>
      <c r="U133" s="66">
        <f t="shared" si="31"/>
        <v>0</v>
      </c>
      <c r="V133" s="66">
        <f t="shared" si="31"/>
        <v>0</v>
      </c>
      <c r="W133" s="61">
        <f t="shared" si="31"/>
        <v>0</v>
      </c>
      <c r="X133" s="66">
        <f t="shared" si="31"/>
        <v>0</v>
      </c>
      <c r="Y133" s="66">
        <f t="shared" si="31"/>
        <v>0</v>
      </c>
      <c r="Z133" s="66">
        <f t="shared" si="31"/>
        <v>0</v>
      </c>
      <c r="AA133" s="61">
        <f t="shared" si="31"/>
        <v>0</v>
      </c>
      <c r="AB133" s="66">
        <f t="shared" si="31"/>
        <v>0</v>
      </c>
      <c r="AC133" s="66">
        <f t="shared" si="31"/>
        <v>0</v>
      </c>
      <c r="AD133" s="66">
        <f t="shared" si="31"/>
        <v>0</v>
      </c>
      <c r="AE133" s="61">
        <f t="shared" si="31"/>
        <v>0</v>
      </c>
      <c r="AF133" s="68">
        <f t="shared" si="30"/>
        <v>15</v>
      </c>
    </row>
    <row r="134" spans="1:32" hidden="1" x14ac:dyDescent="0.35">
      <c r="A134" s="59" t="s">
        <v>285</v>
      </c>
      <c r="B134" s="54">
        <v>21</v>
      </c>
      <c r="C134" s="60" t="s">
        <v>225</v>
      </c>
      <c r="D134" s="60"/>
      <c r="E134" s="60"/>
      <c r="F134" s="60"/>
      <c r="G134" s="61">
        <f>SUM(D134:F134)</f>
        <v>0</v>
      </c>
      <c r="H134" s="60"/>
      <c r="I134" s="60"/>
      <c r="J134" s="60"/>
      <c r="K134" s="61">
        <f>SUM(H134:J134)</f>
        <v>0</v>
      </c>
      <c r="L134" s="60"/>
      <c r="M134" s="60"/>
      <c r="N134" s="60"/>
      <c r="O134" s="61">
        <f>SUM(L134:N134)</f>
        <v>0</v>
      </c>
      <c r="P134" s="60"/>
      <c r="Q134" s="60"/>
      <c r="R134" s="60"/>
      <c r="S134" s="61">
        <f>SUM(P134:R134)</f>
        <v>0</v>
      </c>
      <c r="T134" s="60"/>
      <c r="U134" s="60"/>
      <c r="V134" s="60"/>
      <c r="W134" s="61">
        <f>SUM(T134:V134)</f>
        <v>0</v>
      </c>
      <c r="X134" s="60"/>
      <c r="Y134" s="60"/>
      <c r="Z134" s="60"/>
      <c r="AA134" s="61">
        <f>SUM(X134:Z134)</f>
        <v>0</v>
      </c>
      <c r="AB134" s="60"/>
      <c r="AC134" s="60"/>
      <c r="AD134" s="60"/>
      <c r="AE134" s="61">
        <f>SUM(AB134:AD134)</f>
        <v>0</v>
      </c>
      <c r="AF134" s="62">
        <f t="shared" si="30"/>
        <v>0</v>
      </c>
    </row>
    <row r="135" spans="1:32" hidden="1" x14ac:dyDescent="0.35">
      <c r="A135" s="111" t="s">
        <v>286</v>
      </c>
      <c r="C135" s="63" t="s">
        <v>227</v>
      </c>
      <c r="D135" s="63"/>
      <c r="E135" s="63"/>
      <c r="F135" s="63"/>
      <c r="G135" s="61">
        <f>SUM(D135:F135)</f>
        <v>0</v>
      </c>
      <c r="H135" s="63"/>
      <c r="I135" s="63"/>
      <c r="J135" s="63"/>
      <c r="K135" s="61">
        <f>SUM(H135:J135)</f>
        <v>0</v>
      </c>
      <c r="L135" s="63"/>
      <c r="M135" s="63"/>
      <c r="N135" s="63"/>
      <c r="O135" s="61">
        <f>SUM(L135:N135)</f>
        <v>0</v>
      </c>
      <c r="P135" s="63"/>
      <c r="Q135" s="63"/>
      <c r="R135" s="63"/>
      <c r="S135" s="61">
        <f>SUM(P135:R135)</f>
        <v>0</v>
      </c>
      <c r="T135" s="63"/>
      <c r="U135" s="63"/>
      <c r="V135" s="63"/>
      <c r="W135" s="61">
        <f>SUM(T135:V135)</f>
        <v>0</v>
      </c>
      <c r="X135" s="63"/>
      <c r="Y135" s="63"/>
      <c r="Z135" s="63"/>
      <c r="AA135" s="61">
        <f>SUM(X135:Z135)</f>
        <v>0</v>
      </c>
      <c r="AB135" s="63"/>
      <c r="AC135" s="63"/>
      <c r="AD135" s="63"/>
      <c r="AE135" s="61">
        <f>SUM(AB135:AD135)</f>
        <v>0</v>
      </c>
      <c r="AF135" s="64">
        <f t="shared" si="30"/>
        <v>0</v>
      </c>
    </row>
    <row r="136" spans="1:32" hidden="1" x14ac:dyDescent="0.35">
      <c r="A136" s="111"/>
      <c r="C136" s="60" t="s">
        <v>228</v>
      </c>
      <c r="D136" s="60"/>
      <c r="E136" s="60"/>
      <c r="F136" s="60"/>
      <c r="G136" s="61">
        <f>SUM(D136:F136)</f>
        <v>0</v>
      </c>
      <c r="H136" s="60"/>
      <c r="I136" s="60"/>
      <c r="J136" s="60"/>
      <c r="K136" s="61">
        <f>SUM(H136:J136)</f>
        <v>0</v>
      </c>
      <c r="L136" s="60"/>
      <c r="M136" s="60"/>
      <c r="N136" s="60"/>
      <c r="O136" s="61">
        <f>SUM(L136:N136)</f>
        <v>0</v>
      </c>
      <c r="P136" s="60"/>
      <c r="Q136" s="60"/>
      <c r="R136" s="60"/>
      <c r="S136" s="61">
        <f>SUM(P136:R136)</f>
        <v>0</v>
      </c>
      <c r="T136" s="60"/>
      <c r="U136" s="60"/>
      <c r="V136" s="60"/>
      <c r="W136" s="61">
        <f>SUM(T136:V136)</f>
        <v>0</v>
      </c>
      <c r="X136" s="60"/>
      <c r="Y136" s="60"/>
      <c r="Z136" s="60"/>
      <c r="AA136" s="61">
        <f>SUM(X136:Z136)</f>
        <v>0</v>
      </c>
      <c r="AB136" s="60"/>
      <c r="AC136" s="60"/>
      <c r="AD136" s="60"/>
      <c r="AE136" s="61">
        <f>SUM(AB136:AD136)</f>
        <v>0</v>
      </c>
      <c r="AF136" s="65">
        <f t="shared" si="30"/>
        <v>0</v>
      </c>
    </row>
    <row r="137" spans="1:32" hidden="1" x14ac:dyDescent="0.35">
      <c r="A137" s="111"/>
      <c r="C137" s="63" t="s">
        <v>235</v>
      </c>
      <c r="D137" s="63"/>
      <c r="E137" s="63"/>
      <c r="F137" s="63"/>
      <c r="G137" s="61">
        <f>SUM(D137:F137)</f>
        <v>0</v>
      </c>
      <c r="H137" s="63"/>
      <c r="I137" s="63"/>
      <c r="J137" s="63"/>
      <c r="K137" s="61">
        <f>SUM(H137:J137)</f>
        <v>0</v>
      </c>
      <c r="L137" s="63"/>
      <c r="M137" s="63"/>
      <c r="N137" s="63"/>
      <c r="O137" s="61">
        <f>SUM(L137:N137)</f>
        <v>0</v>
      </c>
      <c r="P137" s="63"/>
      <c r="Q137" s="63"/>
      <c r="R137" s="63"/>
      <c r="S137" s="61">
        <f>SUM(P137:R137)</f>
        <v>0</v>
      </c>
      <c r="T137" s="63"/>
      <c r="U137" s="63"/>
      <c r="V137" s="63"/>
      <c r="W137" s="61">
        <f>SUM(T137:V137)</f>
        <v>0</v>
      </c>
      <c r="X137" s="63"/>
      <c r="Y137" s="63"/>
      <c r="Z137" s="63"/>
      <c r="AA137" s="61">
        <f>SUM(X137:Z137)</f>
        <v>0</v>
      </c>
      <c r="AB137" s="63"/>
      <c r="AC137" s="63"/>
      <c r="AD137" s="63"/>
      <c r="AE137" s="61">
        <f>SUM(AB137:AD137)</f>
        <v>0</v>
      </c>
      <c r="AF137" s="63">
        <f t="shared" si="30"/>
        <v>0</v>
      </c>
    </row>
    <row r="138" spans="1:32" hidden="1" x14ac:dyDescent="0.35">
      <c r="A138" s="66" t="s">
        <v>286</v>
      </c>
      <c r="B138" s="67"/>
      <c r="C138" s="66"/>
      <c r="D138" s="66">
        <f t="shared" ref="D138:AE138" si="32">SUM(D134:D137)</f>
        <v>0</v>
      </c>
      <c r="E138" s="66">
        <f t="shared" si="32"/>
        <v>0</v>
      </c>
      <c r="F138" s="66">
        <f t="shared" si="32"/>
        <v>0</v>
      </c>
      <c r="G138" s="61">
        <f t="shared" si="32"/>
        <v>0</v>
      </c>
      <c r="H138" s="66">
        <f t="shared" si="32"/>
        <v>0</v>
      </c>
      <c r="I138" s="66">
        <f t="shared" si="32"/>
        <v>0</v>
      </c>
      <c r="J138" s="66">
        <f t="shared" si="32"/>
        <v>0</v>
      </c>
      <c r="K138" s="61">
        <f t="shared" si="32"/>
        <v>0</v>
      </c>
      <c r="L138" s="66">
        <f t="shared" si="32"/>
        <v>0</v>
      </c>
      <c r="M138" s="66">
        <f t="shared" si="32"/>
        <v>0</v>
      </c>
      <c r="N138" s="66">
        <f t="shared" si="32"/>
        <v>0</v>
      </c>
      <c r="O138" s="61">
        <f t="shared" si="32"/>
        <v>0</v>
      </c>
      <c r="P138" s="66">
        <f t="shared" si="32"/>
        <v>0</v>
      </c>
      <c r="Q138" s="66">
        <f t="shared" si="32"/>
        <v>0</v>
      </c>
      <c r="R138" s="66">
        <f t="shared" si="32"/>
        <v>0</v>
      </c>
      <c r="S138" s="61">
        <f t="shared" si="32"/>
        <v>0</v>
      </c>
      <c r="T138" s="66">
        <f t="shared" si="32"/>
        <v>0</v>
      </c>
      <c r="U138" s="66">
        <f t="shared" si="32"/>
        <v>0</v>
      </c>
      <c r="V138" s="66">
        <f t="shared" si="32"/>
        <v>0</v>
      </c>
      <c r="W138" s="61">
        <f t="shared" si="32"/>
        <v>0</v>
      </c>
      <c r="X138" s="66">
        <f t="shared" si="32"/>
        <v>0</v>
      </c>
      <c r="Y138" s="66">
        <f t="shared" si="32"/>
        <v>0</v>
      </c>
      <c r="Z138" s="66">
        <f t="shared" si="32"/>
        <v>0</v>
      </c>
      <c r="AA138" s="61">
        <f t="shared" si="32"/>
        <v>0</v>
      </c>
      <c r="AB138" s="66">
        <f t="shared" si="32"/>
        <v>0</v>
      </c>
      <c r="AC138" s="66">
        <f t="shared" si="32"/>
        <v>0</v>
      </c>
      <c r="AD138" s="66">
        <f t="shared" si="32"/>
        <v>0</v>
      </c>
      <c r="AE138" s="61">
        <f t="shared" si="32"/>
        <v>0</v>
      </c>
      <c r="AF138" s="68">
        <f t="shared" si="30"/>
        <v>0</v>
      </c>
    </row>
    <row r="139" spans="1:32" ht="15" hidden="1" customHeight="1" x14ac:dyDescent="0.35">
      <c r="A139" s="111" t="s">
        <v>287</v>
      </c>
      <c r="C139" s="60" t="s">
        <v>225</v>
      </c>
      <c r="D139" s="60">
        <v>4</v>
      </c>
      <c r="E139" s="60">
        <v>3</v>
      </c>
      <c r="F139" s="60"/>
      <c r="G139" s="61">
        <f>SUM(D139:F139)</f>
        <v>7</v>
      </c>
      <c r="H139" s="60"/>
      <c r="I139" s="60"/>
      <c r="J139" s="60"/>
      <c r="K139" s="61">
        <f>SUM(H139:J139)</f>
        <v>0</v>
      </c>
      <c r="L139" s="60"/>
      <c r="M139" s="60"/>
      <c r="N139" s="60"/>
      <c r="O139" s="61">
        <f>SUM(L139:N139)</f>
        <v>0</v>
      </c>
      <c r="P139" s="60"/>
      <c r="Q139" s="60"/>
      <c r="R139" s="60"/>
      <c r="S139" s="61">
        <f>SUM(P139:R139)</f>
        <v>0</v>
      </c>
      <c r="T139" s="60"/>
      <c r="U139" s="60"/>
      <c r="V139" s="60"/>
      <c r="W139" s="61">
        <f>SUM(T139:V139)</f>
        <v>0</v>
      </c>
      <c r="X139" s="60"/>
      <c r="Y139" s="60"/>
      <c r="Z139" s="60"/>
      <c r="AA139" s="61">
        <f>SUM(X139:Z139)</f>
        <v>0</v>
      </c>
      <c r="AB139" s="60"/>
      <c r="AC139" s="60"/>
      <c r="AD139" s="60"/>
      <c r="AE139" s="61">
        <f>SUM(AB139:AD139)</f>
        <v>0</v>
      </c>
      <c r="AF139" s="62">
        <f t="shared" si="30"/>
        <v>7</v>
      </c>
    </row>
    <row r="140" spans="1:32" hidden="1" x14ac:dyDescent="0.35">
      <c r="A140" s="111"/>
      <c r="C140" s="63" t="s">
        <v>227</v>
      </c>
      <c r="D140" s="63">
        <v>1</v>
      </c>
      <c r="E140" s="63"/>
      <c r="F140" s="63"/>
      <c r="G140" s="61">
        <f>SUM(D140:F140)</f>
        <v>1</v>
      </c>
      <c r="H140" s="63"/>
      <c r="I140" s="63"/>
      <c r="J140" s="63"/>
      <c r="K140" s="61">
        <f>SUM(H140:J140)</f>
        <v>0</v>
      </c>
      <c r="L140" s="63">
        <v>1</v>
      </c>
      <c r="M140" s="63"/>
      <c r="N140" s="63"/>
      <c r="O140" s="61">
        <f>SUM(L140:N140)</f>
        <v>1</v>
      </c>
      <c r="P140" s="63">
        <v>1</v>
      </c>
      <c r="Q140" s="63"/>
      <c r="R140" s="63"/>
      <c r="S140" s="61">
        <f>SUM(P140:R140)</f>
        <v>1</v>
      </c>
      <c r="T140" s="63"/>
      <c r="U140" s="63"/>
      <c r="V140" s="63"/>
      <c r="W140" s="61">
        <f>SUM(T140:V140)</f>
        <v>0</v>
      </c>
      <c r="X140" s="63">
        <v>1</v>
      </c>
      <c r="Y140" s="63">
        <v>1</v>
      </c>
      <c r="Z140" s="63"/>
      <c r="AA140" s="61">
        <f>SUM(X140:Z140)</f>
        <v>2</v>
      </c>
      <c r="AB140" s="63"/>
      <c r="AC140" s="63"/>
      <c r="AD140" s="63"/>
      <c r="AE140" s="61">
        <f>SUM(AB140:AD140)</f>
        <v>0</v>
      </c>
      <c r="AF140" s="64">
        <f t="shared" si="30"/>
        <v>5</v>
      </c>
    </row>
    <row r="141" spans="1:32" hidden="1" x14ac:dyDescent="0.35">
      <c r="A141" s="111"/>
      <c r="C141" s="60" t="s">
        <v>228</v>
      </c>
      <c r="D141" s="60"/>
      <c r="E141" s="60"/>
      <c r="F141" s="60"/>
      <c r="G141" s="61">
        <f>SUM(D141:F141)</f>
        <v>0</v>
      </c>
      <c r="H141" s="60"/>
      <c r="I141" s="60"/>
      <c r="J141" s="60"/>
      <c r="K141" s="61">
        <f>SUM(H141:J141)</f>
        <v>0</v>
      </c>
      <c r="L141" s="60"/>
      <c r="M141" s="60"/>
      <c r="N141" s="60"/>
      <c r="O141" s="61">
        <f>SUM(L141:N141)</f>
        <v>0</v>
      </c>
      <c r="P141" s="60"/>
      <c r="Q141" s="60"/>
      <c r="R141" s="60"/>
      <c r="S141" s="61">
        <f>SUM(P141:R141)</f>
        <v>0</v>
      </c>
      <c r="T141" s="60"/>
      <c r="U141" s="60"/>
      <c r="V141" s="60"/>
      <c r="W141" s="61">
        <f>SUM(T141:V141)</f>
        <v>0</v>
      </c>
      <c r="X141" s="60"/>
      <c r="Y141" s="60"/>
      <c r="Z141" s="60"/>
      <c r="AA141" s="61">
        <f>SUM(X141:Z141)</f>
        <v>0</v>
      </c>
      <c r="AB141" s="60"/>
      <c r="AC141" s="60"/>
      <c r="AD141" s="60"/>
      <c r="AE141" s="61">
        <f>SUM(AB141:AD141)</f>
        <v>0</v>
      </c>
      <c r="AF141" s="65">
        <f t="shared" si="30"/>
        <v>0</v>
      </c>
    </row>
    <row r="142" spans="1:32" hidden="1" x14ac:dyDescent="0.35">
      <c r="A142" s="111"/>
      <c r="C142" s="63" t="s">
        <v>235</v>
      </c>
      <c r="D142" s="63"/>
      <c r="E142" s="63"/>
      <c r="F142" s="63"/>
      <c r="G142" s="61">
        <f>SUM(D142:F142)</f>
        <v>0</v>
      </c>
      <c r="H142" s="63"/>
      <c r="I142" s="63"/>
      <c r="J142" s="63"/>
      <c r="K142" s="61">
        <f>SUM(H142:J142)</f>
        <v>0</v>
      </c>
      <c r="L142" s="63"/>
      <c r="M142" s="63"/>
      <c r="N142" s="63"/>
      <c r="O142" s="61">
        <f>SUM(L142:N142)</f>
        <v>0</v>
      </c>
      <c r="P142" s="63"/>
      <c r="Q142" s="63"/>
      <c r="R142" s="63"/>
      <c r="S142" s="61">
        <f>SUM(P142:R142)</f>
        <v>0</v>
      </c>
      <c r="T142" s="63"/>
      <c r="U142" s="63"/>
      <c r="V142" s="63"/>
      <c r="W142" s="61">
        <f>SUM(T142:V142)</f>
        <v>0</v>
      </c>
      <c r="X142" s="63"/>
      <c r="Y142" s="63"/>
      <c r="Z142" s="63"/>
      <c r="AA142" s="61">
        <f>SUM(X142:Z142)</f>
        <v>0</v>
      </c>
      <c r="AB142" s="63"/>
      <c r="AC142" s="63"/>
      <c r="AD142" s="63"/>
      <c r="AE142" s="61">
        <f>SUM(AB142:AD142)</f>
        <v>0</v>
      </c>
      <c r="AF142" s="63">
        <f t="shared" si="30"/>
        <v>0</v>
      </c>
    </row>
    <row r="143" spans="1:32" hidden="1" x14ac:dyDescent="0.35">
      <c r="A143" s="76" t="s">
        <v>288</v>
      </c>
      <c r="B143" s="67"/>
      <c r="C143" s="66"/>
      <c r="D143" s="66">
        <f t="shared" ref="D143:AE143" si="33">SUM(D139:D142)</f>
        <v>5</v>
      </c>
      <c r="E143" s="66">
        <f t="shared" si="33"/>
        <v>3</v>
      </c>
      <c r="F143" s="66">
        <f t="shared" si="33"/>
        <v>0</v>
      </c>
      <c r="G143" s="61">
        <f t="shared" si="33"/>
        <v>8</v>
      </c>
      <c r="H143" s="66">
        <f t="shared" si="33"/>
        <v>0</v>
      </c>
      <c r="I143" s="66">
        <f t="shared" si="33"/>
        <v>0</v>
      </c>
      <c r="J143" s="66">
        <f t="shared" si="33"/>
        <v>0</v>
      </c>
      <c r="K143" s="61">
        <f t="shared" si="33"/>
        <v>0</v>
      </c>
      <c r="L143" s="66">
        <f t="shared" si="33"/>
        <v>1</v>
      </c>
      <c r="M143" s="66">
        <f t="shared" si="33"/>
        <v>0</v>
      </c>
      <c r="N143" s="66">
        <f t="shared" si="33"/>
        <v>0</v>
      </c>
      <c r="O143" s="61">
        <f t="shared" si="33"/>
        <v>1</v>
      </c>
      <c r="P143" s="66">
        <f t="shared" si="33"/>
        <v>1</v>
      </c>
      <c r="Q143" s="66">
        <f t="shared" si="33"/>
        <v>0</v>
      </c>
      <c r="R143" s="66">
        <f t="shared" si="33"/>
        <v>0</v>
      </c>
      <c r="S143" s="61">
        <f t="shared" si="33"/>
        <v>1</v>
      </c>
      <c r="T143" s="66">
        <f t="shared" si="33"/>
        <v>0</v>
      </c>
      <c r="U143" s="66">
        <f t="shared" si="33"/>
        <v>0</v>
      </c>
      <c r="V143" s="66">
        <f t="shared" si="33"/>
        <v>0</v>
      </c>
      <c r="W143" s="61">
        <f t="shared" si="33"/>
        <v>0</v>
      </c>
      <c r="X143" s="66">
        <f t="shared" si="33"/>
        <v>1</v>
      </c>
      <c r="Y143" s="66">
        <f t="shared" si="33"/>
        <v>1</v>
      </c>
      <c r="Z143" s="66">
        <f t="shared" si="33"/>
        <v>0</v>
      </c>
      <c r="AA143" s="61">
        <f t="shared" si="33"/>
        <v>2</v>
      </c>
      <c r="AB143" s="66">
        <f t="shared" si="33"/>
        <v>0</v>
      </c>
      <c r="AC143" s="66">
        <f t="shared" si="33"/>
        <v>0</v>
      </c>
      <c r="AD143" s="66">
        <f t="shared" si="33"/>
        <v>0</v>
      </c>
      <c r="AE143" s="61">
        <f t="shared" si="33"/>
        <v>0</v>
      </c>
      <c r="AF143" s="68">
        <f t="shared" si="30"/>
        <v>12</v>
      </c>
    </row>
    <row r="144" spans="1:32" x14ac:dyDescent="0.35">
      <c r="A144" s="66" t="s">
        <v>285</v>
      </c>
      <c r="B144" s="67">
        <v>21</v>
      </c>
      <c r="C144" s="66"/>
      <c r="D144" s="66">
        <f t="shared" ref="D144:AE144" si="34">SUM(D143,D138)</f>
        <v>5</v>
      </c>
      <c r="E144" s="66">
        <f t="shared" si="34"/>
        <v>3</v>
      </c>
      <c r="F144" s="66">
        <f t="shared" si="34"/>
        <v>0</v>
      </c>
      <c r="G144" s="61">
        <f t="shared" si="34"/>
        <v>8</v>
      </c>
      <c r="H144" s="66">
        <f t="shared" si="34"/>
        <v>0</v>
      </c>
      <c r="I144" s="66">
        <f t="shared" si="34"/>
        <v>0</v>
      </c>
      <c r="J144" s="66">
        <f t="shared" si="34"/>
        <v>0</v>
      </c>
      <c r="K144" s="61">
        <f t="shared" si="34"/>
        <v>0</v>
      </c>
      <c r="L144" s="66">
        <f t="shared" si="34"/>
        <v>1</v>
      </c>
      <c r="M144" s="66">
        <f t="shared" si="34"/>
        <v>0</v>
      </c>
      <c r="N144" s="66">
        <f t="shared" si="34"/>
        <v>0</v>
      </c>
      <c r="O144" s="61">
        <f t="shared" si="34"/>
        <v>1</v>
      </c>
      <c r="P144" s="66">
        <f t="shared" si="34"/>
        <v>1</v>
      </c>
      <c r="Q144" s="66">
        <f t="shared" si="34"/>
        <v>0</v>
      </c>
      <c r="R144" s="66">
        <f t="shared" si="34"/>
        <v>0</v>
      </c>
      <c r="S144" s="61">
        <f t="shared" si="34"/>
        <v>1</v>
      </c>
      <c r="T144" s="66">
        <f t="shared" si="34"/>
        <v>0</v>
      </c>
      <c r="U144" s="66">
        <f t="shared" si="34"/>
        <v>0</v>
      </c>
      <c r="V144" s="66">
        <f t="shared" si="34"/>
        <v>0</v>
      </c>
      <c r="W144" s="61">
        <f t="shared" si="34"/>
        <v>0</v>
      </c>
      <c r="X144" s="66">
        <f t="shared" si="34"/>
        <v>1</v>
      </c>
      <c r="Y144" s="66">
        <f t="shared" si="34"/>
        <v>1</v>
      </c>
      <c r="Z144" s="66">
        <f t="shared" si="34"/>
        <v>0</v>
      </c>
      <c r="AA144" s="61">
        <f t="shared" si="34"/>
        <v>2</v>
      </c>
      <c r="AB144" s="66">
        <f t="shared" si="34"/>
        <v>0</v>
      </c>
      <c r="AC144" s="66">
        <f t="shared" si="34"/>
        <v>0</v>
      </c>
      <c r="AD144" s="66">
        <f t="shared" si="34"/>
        <v>0</v>
      </c>
      <c r="AE144" s="61">
        <f t="shared" si="34"/>
        <v>0</v>
      </c>
      <c r="AF144" s="68">
        <f t="shared" si="30"/>
        <v>12</v>
      </c>
    </row>
    <row r="145" spans="1:32" hidden="1" x14ac:dyDescent="0.35">
      <c r="A145" s="59" t="s">
        <v>289</v>
      </c>
      <c r="B145" s="54" t="s">
        <v>290</v>
      </c>
      <c r="C145" s="60" t="s">
        <v>225</v>
      </c>
      <c r="D145" s="60">
        <v>1</v>
      </c>
      <c r="E145" s="60"/>
      <c r="F145" s="60"/>
      <c r="G145" s="61">
        <f>SUM(D145:F145)</f>
        <v>1</v>
      </c>
      <c r="H145" s="60">
        <v>1</v>
      </c>
      <c r="I145" s="60"/>
      <c r="J145" s="60"/>
      <c r="K145" s="61">
        <f>SUM(H145:J145)</f>
        <v>1</v>
      </c>
      <c r="L145" s="60"/>
      <c r="M145" s="60"/>
      <c r="N145" s="60"/>
      <c r="O145" s="61">
        <f>SUM(L145:N145)</f>
        <v>0</v>
      </c>
      <c r="P145" s="60"/>
      <c r="Q145" s="60"/>
      <c r="R145" s="60"/>
      <c r="S145" s="61">
        <f>SUM(P145:R145)</f>
        <v>0</v>
      </c>
      <c r="T145" s="60"/>
      <c r="U145" s="60"/>
      <c r="V145" s="60"/>
      <c r="W145" s="61">
        <f>SUM(T145:V145)</f>
        <v>0</v>
      </c>
      <c r="X145" s="60">
        <v>1</v>
      </c>
      <c r="Y145" s="60"/>
      <c r="Z145" s="60"/>
      <c r="AA145" s="61">
        <f>SUM(X145:Z145)</f>
        <v>1</v>
      </c>
      <c r="AB145" s="60">
        <v>2</v>
      </c>
      <c r="AC145" s="60"/>
      <c r="AD145" s="60"/>
      <c r="AE145" s="61">
        <f>SUM(AB145:AD145)</f>
        <v>2</v>
      </c>
      <c r="AF145" s="62">
        <f t="shared" si="30"/>
        <v>5</v>
      </c>
    </row>
    <row r="146" spans="1:32" hidden="1" x14ac:dyDescent="0.35">
      <c r="A146" s="111" t="s">
        <v>291</v>
      </c>
      <c r="C146" s="63" t="s">
        <v>227</v>
      </c>
      <c r="D146" s="63"/>
      <c r="E146" s="63"/>
      <c r="F146" s="63"/>
      <c r="G146" s="61">
        <f>SUM(D146:F146)</f>
        <v>0</v>
      </c>
      <c r="H146" s="63"/>
      <c r="I146" s="63"/>
      <c r="J146" s="63"/>
      <c r="K146" s="61">
        <f>SUM(H146:J146)</f>
        <v>0</v>
      </c>
      <c r="L146" s="63">
        <v>2</v>
      </c>
      <c r="M146" s="63"/>
      <c r="N146" s="63"/>
      <c r="O146" s="61">
        <f>SUM(L146:N146)</f>
        <v>2</v>
      </c>
      <c r="P146" s="63"/>
      <c r="Q146" s="63"/>
      <c r="R146" s="63"/>
      <c r="S146" s="61">
        <f>SUM(P146:R146)</f>
        <v>0</v>
      </c>
      <c r="T146" s="63"/>
      <c r="U146" s="63"/>
      <c r="V146" s="63"/>
      <c r="W146" s="61">
        <f>SUM(T146:V146)</f>
        <v>0</v>
      </c>
      <c r="X146" s="63"/>
      <c r="Y146" s="63"/>
      <c r="Z146" s="63"/>
      <c r="AA146" s="61">
        <f>SUM(X146:Z146)</f>
        <v>0</v>
      </c>
      <c r="AB146" s="63"/>
      <c r="AC146" s="63"/>
      <c r="AD146" s="63"/>
      <c r="AE146" s="61">
        <f>SUM(AB146:AD146)</f>
        <v>0</v>
      </c>
      <c r="AF146" s="64">
        <f t="shared" si="30"/>
        <v>2</v>
      </c>
    </row>
    <row r="147" spans="1:32" hidden="1" x14ac:dyDescent="0.35">
      <c r="A147" s="111"/>
      <c r="C147" s="60" t="s">
        <v>228</v>
      </c>
      <c r="D147" s="60"/>
      <c r="E147" s="60"/>
      <c r="F147" s="60"/>
      <c r="G147" s="61">
        <f>SUM(D147:F147)</f>
        <v>0</v>
      </c>
      <c r="H147" s="60"/>
      <c r="I147" s="60"/>
      <c r="J147" s="60"/>
      <c r="K147" s="61">
        <f>SUM(H147:J147)</f>
        <v>0</v>
      </c>
      <c r="L147" s="60"/>
      <c r="M147" s="60"/>
      <c r="N147" s="60"/>
      <c r="O147" s="61">
        <f>SUM(L147:N147)</f>
        <v>0</v>
      </c>
      <c r="P147" s="60"/>
      <c r="Q147" s="60"/>
      <c r="R147" s="60"/>
      <c r="S147" s="61">
        <f>SUM(P147:R147)</f>
        <v>0</v>
      </c>
      <c r="T147" s="60"/>
      <c r="U147" s="60"/>
      <c r="V147" s="60"/>
      <c r="W147" s="61">
        <f>SUM(T147:V147)</f>
        <v>0</v>
      </c>
      <c r="X147" s="60"/>
      <c r="Y147" s="60"/>
      <c r="Z147" s="60"/>
      <c r="AA147" s="61">
        <f>SUM(X147:Z147)</f>
        <v>0</v>
      </c>
      <c r="AB147" s="60"/>
      <c r="AC147" s="60"/>
      <c r="AD147" s="60"/>
      <c r="AE147" s="61">
        <f>SUM(AB147:AD147)</f>
        <v>0</v>
      </c>
      <c r="AF147" s="65">
        <f t="shared" si="30"/>
        <v>0</v>
      </c>
    </row>
    <row r="148" spans="1:32" hidden="1" x14ac:dyDescent="0.35">
      <c r="A148" s="111"/>
      <c r="C148" s="63" t="s">
        <v>235</v>
      </c>
      <c r="D148" s="63"/>
      <c r="E148" s="63"/>
      <c r="F148" s="63"/>
      <c r="G148" s="61">
        <f>SUM(D148:F148)</f>
        <v>0</v>
      </c>
      <c r="H148" s="63"/>
      <c r="I148" s="63"/>
      <c r="J148" s="63"/>
      <c r="K148" s="61">
        <f>SUM(H148:J148)</f>
        <v>0</v>
      </c>
      <c r="L148" s="63">
        <v>2</v>
      </c>
      <c r="M148" s="63"/>
      <c r="N148" s="63"/>
      <c r="O148" s="61">
        <f>SUM(L148:N148)</f>
        <v>2</v>
      </c>
      <c r="P148" s="63"/>
      <c r="Q148" s="63"/>
      <c r="R148" s="63"/>
      <c r="S148" s="61">
        <f>SUM(P148:R148)</f>
        <v>0</v>
      </c>
      <c r="T148" s="63"/>
      <c r="U148" s="63"/>
      <c r="V148" s="63"/>
      <c r="W148" s="61">
        <f>SUM(T148:V148)</f>
        <v>0</v>
      </c>
      <c r="X148" s="63"/>
      <c r="Y148" s="63"/>
      <c r="Z148" s="63"/>
      <c r="AA148" s="61">
        <f>SUM(X148:Z148)</f>
        <v>0</v>
      </c>
      <c r="AB148" s="63">
        <v>1</v>
      </c>
      <c r="AC148" s="63"/>
      <c r="AD148" s="63"/>
      <c r="AE148" s="61">
        <f>SUM(AB148:AD148)</f>
        <v>1</v>
      </c>
      <c r="AF148" s="63">
        <f t="shared" si="30"/>
        <v>3</v>
      </c>
    </row>
    <row r="149" spans="1:32" x14ac:dyDescent="0.35">
      <c r="A149" s="66" t="s">
        <v>289</v>
      </c>
      <c r="B149" s="67" t="s">
        <v>290</v>
      </c>
      <c r="C149" s="66"/>
      <c r="D149" s="66">
        <f t="shared" ref="D149:AE149" si="35">SUM(D145:D148)</f>
        <v>1</v>
      </c>
      <c r="E149" s="66">
        <f t="shared" si="35"/>
        <v>0</v>
      </c>
      <c r="F149" s="66">
        <f t="shared" si="35"/>
        <v>0</v>
      </c>
      <c r="G149" s="61">
        <f t="shared" si="35"/>
        <v>1</v>
      </c>
      <c r="H149" s="66">
        <f t="shared" si="35"/>
        <v>1</v>
      </c>
      <c r="I149" s="66">
        <f t="shared" si="35"/>
        <v>0</v>
      </c>
      <c r="J149" s="66">
        <f t="shared" si="35"/>
        <v>0</v>
      </c>
      <c r="K149" s="61">
        <f t="shared" si="35"/>
        <v>1</v>
      </c>
      <c r="L149" s="66">
        <f t="shared" si="35"/>
        <v>4</v>
      </c>
      <c r="M149" s="66">
        <f t="shared" si="35"/>
        <v>0</v>
      </c>
      <c r="N149" s="66">
        <f t="shared" si="35"/>
        <v>0</v>
      </c>
      <c r="O149" s="61">
        <f t="shared" si="35"/>
        <v>4</v>
      </c>
      <c r="P149" s="66">
        <f t="shared" si="35"/>
        <v>0</v>
      </c>
      <c r="Q149" s="66">
        <f t="shared" si="35"/>
        <v>0</v>
      </c>
      <c r="R149" s="66">
        <f t="shared" si="35"/>
        <v>0</v>
      </c>
      <c r="S149" s="61">
        <f t="shared" si="35"/>
        <v>0</v>
      </c>
      <c r="T149" s="66">
        <f t="shared" si="35"/>
        <v>0</v>
      </c>
      <c r="U149" s="66">
        <f t="shared" si="35"/>
        <v>0</v>
      </c>
      <c r="V149" s="66">
        <f t="shared" si="35"/>
        <v>0</v>
      </c>
      <c r="W149" s="61">
        <f t="shared" si="35"/>
        <v>0</v>
      </c>
      <c r="X149" s="66">
        <f t="shared" si="35"/>
        <v>1</v>
      </c>
      <c r="Y149" s="66">
        <f t="shared" si="35"/>
        <v>0</v>
      </c>
      <c r="Z149" s="66">
        <f t="shared" si="35"/>
        <v>0</v>
      </c>
      <c r="AA149" s="61">
        <f t="shared" si="35"/>
        <v>1</v>
      </c>
      <c r="AB149" s="66">
        <f t="shared" si="35"/>
        <v>3</v>
      </c>
      <c r="AC149" s="66">
        <f t="shared" si="35"/>
        <v>0</v>
      </c>
      <c r="AD149" s="66">
        <f t="shared" si="35"/>
        <v>0</v>
      </c>
      <c r="AE149" s="61">
        <f t="shared" si="35"/>
        <v>3</v>
      </c>
      <c r="AF149" s="68">
        <f t="shared" si="30"/>
        <v>10</v>
      </c>
    </row>
    <row r="150" spans="1:32" hidden="1" x14ac:dyDescent="0.35">
      <c r="A150" s="59" t="s">
        <v>292</v>
      </c>
      <c r="B150" s="54" t="s">
        <v>293</v>
      </c>
      <c r="C150" s="60" t="s">
        <v>225</v>
      </c>
      <c r="D150" s="60">
        <v>6</v>
      </c>
      <c r="E150" s="60"/>
      <c r="F150" s="60"/>
      <c r="G150" s="61">
        <f>SUM(D150:F150)</f>
        <v>6</v>
      </c>
      <c r="H150" s="60"/>
      <c r="I150" s="60"/>
      <c r="J150" s="60"/>
      <c r="K150" s="61">
        <f>SUM(H150:J150)</f>
        <v>0</v>
      </c>
      <c r="L150" s="60">
        <v>1</v>
      </c>
      <c r="M150" s="60"/>
      <c r="N150" s="60"/>
      <c r="O150" s="61">
        <f>SUM(L150:N150)</f>
        <v>1</v>
      </c>
      <c r="P150" s="60"/>
      <c r="Q150" s="60"/>
      <c r="R150" s="60"/>
      <c r="S150" s="61">
        <f>SUM(P150:R150)</f>
        <v>0</v>
      </c>
      <c r="T150" s="60"/>
      <c r="U150" s="60"/>
      <c r="V150" s="60"/>
      <c r="W150" s="61">
        <f>SUM(T150:V150)</f>
        <v>0</v>
      </c>
      <c r="X150" s="60">
        <v>1</v>
      </c>
      <c r="Y150" s="60"/>
      <c r="Z150" s="60"/>
      <c r="AA150" s="61">
        <f>SUM(X150:Z150)</f>
        <v>1</v>
      </c>
      <c r="AB150" s="60"/>
      <c r="AC150" s="60"/>
      <c r="AD150" s="60"/>
      <c r="AE150" s="61">
        <f>SUM(AB150:AD150)</f>
        <v>0</v>
      </c>
      <c r="AF150" s="62">
        <f t="shared" si="30"/>
        <v>8</v>
      </c>
    </row>
    <row r="151" spans="1:32" hidden="1" x14ac:dyDescent="0.35">
      <c r="A151" s="111" t="s">
        <v>267</v>
      </c>
      <c r="C151" s="63" t="s">
        <v>227</v>
      </c>
      <c r="D151" s="63">
        <v>10</v>
      </c>
      <c r="E151" s="63"/>
      <c r="F151" s="63"/>
      <c r="G151" s="61">
        <f>SUM(D151:F151)</f>
        <v>10</v>
      </c>
      <c r="H151" s="63">
        <v>1</v>
      </c>
      <c r="I151" s="63"/>
      <c r="J151" s="63"/>
      <c r="K151" s="61">
        <f>SUM(H151:J151)</f>
        <v>1</v>
      </c>
      <c r="L151" s="63">
        <v>1</v>
      </c>
      <c r="M151" s="63"/>
      <c r="N151" s="63"/>
      <c r="O151" s="61">
        <f>SUM(L151:N151)</f>
        <v>1</v>
      </c>
      <c r="P151" s="63"/>
      <c r="Q151" s="63"/>
      <c r="R151" s="63"/>
      <c r="S151" s="61">
        <f>SUM(P151:R151)</f>
        <v>0</v>
      </c>
      <c r="T151" s="63"/>
      <c r="U151" s="63"/>
      <c r="V151" s="63"/>
      <c r="W151" s="61">
        <f>SUM(T151:V151)</f>
        <v>0</v>
      </c>
      <c r="X151" s="63"/>
      <c r="Y151" s="63"/>
      <c r="Z151" s="63"/>
      <c r="AA151" s="61">
        <f>SUM(X151:Z151)</f>
        <v>0</v>
      </c>
      <c r="AB151" s="63"/>
      <c r="AC151" s="63"/>
      <c r="AD151" s="63"/>
      <c r="AE151" s="61">
        <f>SUM(AB151:AD151)</f>
        <v>0</v>
      </c>
      <c r="AF151" s="64">
        <f t="shared" si="30"/>
        <v>12</v>
      </c>
    </row>
    <row r="152" spans="1:32" hidden="1" x14ac:dyDescent="0.35">
      <c r="A152" s="111"/>
      <c r="C152" s="60" t="s">
        <v>228</v>
      </c>
      <c r="D152" s="60">
        <v>7</v>
      </c>
      <c r="E152" s="60"/>
      <c r="F152" s="60"/>
      <c r="G152" s="61">
        <f>SUM(D152:F152)</f>
        <v>7</v>
      </c>
      <c r="H152" s="60"/>
      <c r="I152" s="60"/>
      <c r="J152" s="60"/>
      <c r="K152" s="61">
        <f>SUM(H152:J152)</f>
        <v>0</v>
      </c>
      <c r="L152" s="60"/>
      <c r="M152" s="60"/>
      <c r="N152" s="60"/>
      <c r="O152" s="61">
        <f>SUM(L152:N152)</f>
        <v>0</v>
      </c>
      <c r="P152" s="60"/>
      <c r="Q152" s="60"/>
      <c r="R152" s="60"/>
      <c r="S152" s="61">
        <f>SUM(P152:R152)</f>
        <v>0</v>
      </c>
      <c r="T152" s="60">
        <v>1</v>
      </c>
      <c r="U152" s="60"/>
      <c r="V152" s="60"/>
      <c r="W152" s="61">
        <f>SUM(T152:V152)</f>
        <v>1</v>
      </c>
      <c r="X152" s="60"/>
      <c r="Y152" s="60"/>
      <c r="Z152" s="60"/>
      <c r="AA152" s="61">
        <f>SUM(X152:Z152)</f>
        <v>0</v>
      </c>
      <c r="AB152" s="60"/>
      <c r="AC152" s="60"/>
      <c r="AD152" s="60"/>
      <c r="AE152" s="61">
        <f>SUM(AB152:AD152)</f>
        <v>0</v>
      </c>
      <c r="AF152" s="65">
        <f t="shared" si="30"/>
        <v>8</v>
      </c>
    </row>
    <row r="153" spans="1:32" hidden="1" x14ac:dyDescent="0.35">
      <c r="A153" s="111"/>
      <c r="C153" s="63" t="s">
        <v>235</v>
      </c>
      <c r="D153" s="63">
        <v>3</v>
      </c>
      <c r="E153" s="63"/>
      <c r="F153" s="63"/>
      <c r="G153" s="61">
        <f>SUM(D153:F153)</f>
        <v>3</v>
      </c>
      <c r="H153" s="63"/>
      <c r="I153" s="63"/>
      <c r="J153" s="63"/>
      <c r="K153" s="61">
        <f>SUM(H153:J153)</f>
        <v>0</v>
      </c>
      <c r="L153" s="63"/>
      <c r="M153" s="63"/>
      <c r="N153" s="63"/>
      <c r="O153" s="61">
        <f>SUM(L153:N153)</f>
        <v>0</v>
      </c>
      <c r="P153" s="63">
        <v>1</v>
      </c>
      <c r="Q153" s="63"/>
      <c r="R153" s="63"/>
      <c r="S153" s="61">
        <f>SUM(P153:R153)</f>
        <v>1</v>
      </c>
      <c r="T153" s="63"/>
      <c r="U153" s="63"/>
      <c r="V153" s="63"/>
      <c r="W153" s="61">
        <f>SUM(T153:V153)</f>
        <v>0</v>
      </c>
      <c r="X153" s="63"/>
      <c r="Y153" s="63"/>
      <c r="Z153" s="63"/>
      <c r="AA153" s="61">
        <f>SUM(X153:Z153)</f>
        <v>0</v>
      </c>
      <c r="AB153" s="63"/>
      <c r="AC153" s="63"/>
      <c r="AD153" s="63"/>
      <c r="AE153" s="61">
        <f>SUM(AB153:AD153)</f>
        <v>0</v>
      </c>
      <c r="AF153" s="63">
        <f t="shared" si="30"/>
        <v>4</v>
      </c>
    </row>
    <row r="154" spans="1:32" x14ac:dyDescent="0.35">
      <c r="A154" s="66" t="s">
        <v>292</v>
      </c>
      <c r="B154" s="67" t="s">
        <v>293</v>
      </c>
      <c r="C154" s="66"/>
      <c r="D154" s="66">
        <f t="shared" ref="D154:AE154" si="36">SUM(D150:D153)</f>
        <v>26</v>
      </c>
      <c r="E154" s="66">
        <f t="shared" si="36"/>
        <v>0</v>
      </c>
      <c r="F154" s="66">
        <f t="shared" si="36"/>
        <v>0</v>
      </c>
      <c r="G154" s="61">
        <f t="shared" si="36"/>
        <v>26</v>
      </c>
      <c r="H154" s="66">
        <f t="shared" si="36"/>
        <v>1</v>
      </c>
      <c r="I154" s="66">
        <f t="shared" si="36"/>
        <v>0</v>
      </c>
      <c r="J154" s="66">
        <f t="shared" si="36"/>
        <v>0</v>
      </c>
      <c r="K154" s="61">
        <f t="shared" si="36"/>
        <v>1</v>
      </c>
      <c r="L154" s="66">
        <f t="shared" si="36"/>
        <v>2</v>
      </c>
      <c r="M154" s="66">
        <f t="shared" si="36"/>
        <v>0</v>
      </c>
      <c r="N154" s="66">
        <f t="shared" si="36"/>
        <v>0</v>
      </c>
      <c r="O154" s="61">
        <f t="shared" si="36"/>
        <v>2</v>
      </c>
      <c r="P154" s="66">
        <f t="shared" si="36"/>
        <v>1</v>
      </c>
      <c r="Q154" s="66">
        <f t="shared" si="36"/>
        <v>0</v>
      </c>
      <c r="R154" s="66">
        <f t="shared" si="36"/>
        <v>0</v>
      </c>
      <c r="S154" s="61">
        <f t="shared" si="36"/>
        <v>1</v>
      </c>
      <c r="T154" s="66">
        <f t="shared" si="36"/>
        <v>1</v>
      </c>
      <c r="U154" s="66">
        <f t="shared" si="36"/>
        <v>0</v>
      </c>
      <c r="V154" s="66">
        <f t="shared" si="36"/>
        <v>0</v>
      </c>
      <c r="W154" s="61">
        <f t="shared" si="36"/>
        <v>1</v>
      </c>
      <c r="X154" s="66">
        <f t="shared" si="36"/>
        <v>1</v>
      </c>
      <c r="Y154" s="66">
        <f t="shared" si="36"/>
        <v>0</v>
      </c>
      <c r="Z154" s="66">
        <f t="shared" si="36"/>
        <v>0</v>
      </c>
      <c r="AA154" s="61">
        <f t="shared" si="36"/>
        <v>1</v>
      </c>
      <c r="AB154" s="66">
        <f t="shared" si="36"/>
        <v>0</v>
      </c>
      <c r="AC154" s="66">
        <f t="shared" si="36"/>
        <v>0</v>
      </c>
      <c r="AD154" s="66">
        <f t="shared" si="36"/>
        <v>0</v>
      </c>
      <c r="AE154" s="61">
        <f t="shared" si="36"/>
        <v>0</v>
      </c>
      <c r="AF154" s="68">
        <f t="shared" si="30"/>
        <v>32</v>
      </c>
    </row>
    <row r="155" spans="1:32" hidden="1" x14ac:dyDescent="0.35">
      <c r="A155" s="59" t="s">
        <v>294</v>
      </c>
      <c r="B155" s="54">
        <v>30</v>
      </c>
      <c r="C155" s="60" t="s">
        <v>225</v>
      </c>
      <c r="D155" s="60"/>
      <c r="E155" s="60"/>
      <c r="F155" s="60"/>
      <c r="G155" s="61">
        <f>SUM(D155:F155)</f>
        <v>0</v>
      </c>
      <c r="H155" s="60"/>
      <c r="I155" s="60"/>
      <c r="J155" s="60"/>
      <c r="K155" s="61">
        <f>SUM(H155:J155)</f>
        <v>0</v>
      </c>
      <c r="L155" s="60"/>
      <c r="M155" s="60"/>
      <c r="N155" s="60"/>
      <c r="O155" s="61">
        <f>SUM(L155:N155)</f>
        <v>0</v>
      </c>
      <c r="P155" s="60"/>
      <c r="Q155" s="60"/>
      <c r="R155" s="60"/>
      <c r="S155" s="61">
        <f>SUM(P155:R155)</f>
        <v>0</v>
      </c>
      <c r="T155" s="60"/>
      <c r="U155" s="60"/>
      <c r="V155" s="60"/>
      <c r="W155" s="61">
        <f>SUM(T155:V155)</f>
        <v>0</v>
      </c>
      <c r="X155" s="60"/>
      <c r="Y155" s="60"/>
      <c r="Z155" s="60"/>
      <c r="AA155" s="61">
        <f>SUM(X155:Z155)</f>
        <v>0</v>
      </c>
      <c r="AB155" s="60"/>
      <c r="AC155" s="60"/>
      <c r="AD155" s="60"/>
      <c r="AE155" s="61">
        <f>SUM(AB155:AD155)</f>
        <v>0</v>
      </c>
      <c r="AF155" s="62">
        <f t="shared" si="30"/>
        <v>0</v>
      </c>
    </row>
    <row r="156" spans="1:32" hidden="1" x14ac:dyDescent="0.35">
      <c r="A156" s="111" t="s">
        <v>263</v>
      </c>
      <c r="C156" s="63" t="s">
        <v>227</v>
      </c>
      <c r="D156" s="63"/>
      <c r="E156" s="63"/>
      <c r="F156" s="63"/>
      <c r="G156" s="61">
        <f>SUM(D156:F156)</f>
        <v>0</v>
      </c>
      <c r="H156" s="63"/>
      <c r="I156" s="63"/>
      <c r="J156" s="63"/>
      <c r="K156" s="61">
        <f>SUM(H156:J156)</f>
        <v>0</v>
      </c>
      <c r="L156" s="63"/>
      <c r="M156" s="63"/>
      <c r="N156" s="63"/>
      <c r="O156" s="61">
        <f>SUM(L156:N156)</f>
        <v>0</v>
      </c>
      <c r="P156" s="63"/>
      <c r="Q156" s="63"/>
      <c r="R156" s="63"/>
      <c r="S156" s="61">
        <f>SUM(P156:R156)</f>
        <v>0</v>
      </c>
      <c r="T156" s="63"/>
      <c r="U156" s="63"/>
      <c r="V156" s="63"/>
      <c r="W156" s="61">
        <f>SUM(T156:V156)</f>
        <v>0</v>
      </c>
      <c r="X156" s="63"/>
      <c r="Y156" s="63"/>
      <c r="Z156" s="63"/>
      <c r="AA156" s="61">
        <f>SUM(X156:Z156)</f>
        <v>0</v>
      </c>
      <c r="AB156" s="63"/>
      <c r="AC156" s="63"/>
      <c r="AD156" s="63"/>
      <c r="AE156" s="61">
        <f>SUM(AB156:AD156)</f>
        <v>0</v>
      </c>
      <c r="AF156" s="64">
        <f t="shared" si="30"/>
        <v>0</v>
      </c>
    </row>
    <row r="157" spans="1:32" hidden="1" x14ac:dyDescent="0.35">
      <c r="A157" s="111"/>
      <c r="C157" s="60" t="s">
        <v>228</v>
      </c>
      <c r="D157" s="60"/>
      <c r="E157" s="60"/>
      <c r="F157" s="60"/>
      <c r="G157" s="61">
        <f>SUM(D157:F157)</f>
        <v>0</v>
      </c>
      <c r="H157" s="60"/>
      <c r="I157" s="60"/>
      <c r="J157" s="60"/>
      <c r="K157" s="61">
        <f>SUM(H157:J157)</f>
        <v>0</v>
      </c>
      <c r="L157" s="60"/>
      <c r="M157" s="60"/>
      <c r="N157" s="60"/>
      <c r="O157" s="61">
        <f>SUM(L157:N157)</f>
        <v>0</v>
      </c>
      <c r="P157" s="60"/>
      <c r="Q157" s="60"/>
      <c r="R157" s="60"/>
      <c r="S157" s="61">
        <f>SUM(P157:R157)</f>
        <v>0</v>
      </c>
      <c r="T157" s="60"/>
      <c r="U157" s="60"/>
      <c r="V157" s="60"/>
      <c r="W157" s="61">
        <f>SUM(T157:V157)</f>
        <v>0</v>
      </c>
      <c r="X157" s="60"/>
      <c r="Y157" s="60"/>
      <c r="Z157" s="60"/>
      <c r="AA157" s="61">
        <f>SUM(X157:Z157)</f>
        <v>0</v>
      </c>
      <c r="AB157" s="60"/>
      <c r="AC157" s="60"/>
      <c r="AD157" s="60"/>
      <c r="AE157" s="61">
        <f>SUM(AB157:AD157)</f>
        <v>0</v>
      </c>
      <c r="AF157" s="65">
        <f t="shared" si="30"/>
        <v>0</v>
      </c>
    </row>
    <row r="158" spans="1:32" hidden="1" x14ac:dyDescent="0.35">
      <c r="A158" s="111"/>
      <c r="C158" s="63" t="s">
        <v>235</v>
      </c>
      <c r="D158" s="63"/>
      <c r="E158" s="63"/>
      <c r="F158" s="63"/>
      <c r="G158" s="61">
        <f>SUM(D158:F158)</f>
        <v>0</v>
      </c>
      <c r="H158" s="63"/>
      <c r="I158" s="63"/>
      <c r="J158" s="63"/>
      <c r="K158" s="61">
        <f>SUM(H158:J158)</f>
        <v>0</v>
      </c>
      <c r="L158" s="63"/>
      <c r="M158" s="63"/>
      <c r="N158" s="63"/>
      <c r="O158" s="61">
        <f>SUM(L158:N158)</f>
        <v>0</v>
      </c>
      <c r="P158" s="63"/>
      <c r="Q158" s="63"/>
      <c r="R158" s="63"/>
      <c r="S158" s="61">
        <f>SUM(P158:R158)</f>
        <v>0</v>
      </c>
      <c r="T158" s="63"/>
      <c r="U158" s="63"/>
      <c r="V158" s="63"/>
      <c r="W158" s="61">
        <f>SUM(T158:V158)</f>
        <v>0</v>
      </c>
      <c r="X158" s="63"/>
      <c r="Y158" s="63"/>
      <c r="Z158" s="63"/>
      <c r="AA158" s="61">
        <f>SUM(X158:Z158)</f>
        <v>0</v>
      </c>
      <c r="AB158" s="63"/>
      <c r="AC158" s="63"/>
      <c r="AD158" s="63"/>
      <c r="AE158" s="61">
        <f>SUM(AB158:AD158)</f>
        <v>0</v>
      </c>
      <c r="AF158" s="63">
        <f t="shared" si="30"/>
        <v>0</v>
      </c>
    </row>
    <row r="159" spans="1:32" x14ac:dyDescent="0.35">
      <c r="A159" s="66" t="s">
        <v>294</v>
      </c>
      <c r="B159" s="67">
        <v>30</v>
      </c>
      <c r="C159" s="66"/>
      <c r="D159" s="66">
        <f t="shared" ref="D159:AE159" si="37">SUM(D155:D158)</f>
        <v>0</v>
      </c>
      <c r="E159" s="66">
        <f t="shared" si="37"/>
        <v>0</v>
      </c>
      <c r="F159" s="66">
        <f t="shared" si="37"/>
        <v>0</v>
      </c>
      <c r="G159" s="61">
        <f t="shared" si="37"/>
        <v>0</v>
      </c>
      <c r="H159" s="66">
        <f t="shared" si="37"/>
        <v>0</v>
      </c>
      <c r="I159" s="66">
        <f t="shared" si="37"/>
        <v>0</v>
      </c>
      <c r="J159" s="66">
        <f t="shared" si="37"/>
        <v>0</v>
      </c>
      <c r="K159" s="61">
        <f t="shared" si="37"/>
        <v>0</v>
      </c>
      <c r="L159" s="66">
        <f t="shared" si="37"/>
        <v>0</v>
      </c>
      <c r="M159" s="66">
        <f t="shared" si="37"/>
        <v>0</v>
      </c>
      <c r="N159" s="66">
        <f t="shared" si="37"/>
        <v>0</v>
      </c>
      <c r="O159" s="61">
        <f t="shared" si="37"/>
        <v>0</v>
      </c>
      <c r="P159" s="66">
        <f t="shared" si="37"/>
        <v>0</v>
      </c>
      <c r="Q159" s="66">
        <f t="shared" si="37"/>
        <v>0</v>
      </c>
      <c r="R159" s="66">
        <f t="shared" si="37"/>
        <v>0</v>
      </c>
      <c r="S159" s="61">
        <f t="shared" si="37"/>
        <v>0</v>
      </c>
      <c r="T159" s="66">
        <f t="shared" si="37"/>
        <v>0</v>
      </c>
      <c r="U159" s="66">
        <f t="shared" si="37"/>
        <v>0</v>
      </c>
      <c r="V159" s="66">
        <f t="shared" si="37"/>
        <v>0</v>
      </c>
      <c r="W159" s="61">
        <f t="shared" si="37"/>
        <v>0</v>
      </c>
      <c r="X159" s="66">
        <f t="shared" si="37"/>
        <v>0</v>
      </c>
      <c r="Y159" s="66">
        <f t="shared" si="37"/>
        <v>0</v>
      </c>
      <c r="Z159" s="66">
        <f t="shared" si="37"/>
        <v>0</v>
      </c>
      <c r="AA159" s="61">
        <f t="shared" si="37"/>
        <v>0</v>
      </c>
      <c r="AB159" s="66">
        <f t="shared" si="37"/>
        <v>0</v>
      </c>
      <c r="AC159" s="66">
        <f t="shared" si="37"/>
        <v>0</v>
      </c>
      <c r="AD159" s="66">
        <f t="shared" si="37"/>
        <v>0</v>
      </c>
      <c r="AE159" s="61">
        <f t="shared" si="37"/>
        <v>0</v>
      </c>
      <c r="AF159" s="68">
        <f t="shared" si="30"/>
        <v>0</v>
      </c>
    </row>
    <row r="160" spans="1:32" hidden="1" x14ac:dyDescent="0.35">
      <c r="A160" s="59" t="s">
        <v>295</v>
      </c>
      <c r="B160" s="54">
        <v>8</v>
      </c>
      <c r="C160" s="60" t="s">
        <v>225</v>
      </c>
      <c r="D160" s="60">
        <v>2</v>
      </c>
      <c r="E160" s="60"/>
      <c r="F160" s="60"/>
      <c r="G160" s="61">
        <f>SUM(D160:F160)</f>
        <v>2</v>
      </c>
      <c r="H160" s="60"/>
      <c r="I160" s="60"/>
      <c r="J160" s="60"/>
      <c r="K160" s="61">
        <f>SUM(H160:J160)</f>
        <v>0</v>
      </c>
      <c r="L160" s="60"/>
      <c r="M160" s="60"/>
      <c r="N160" s="60"/>
      <c r="O160" s="61">
        <f>SUM(L160:N160)</f>
        <v>0</v>
      </c>
      <c r="P160" s="60"/>
      <c r="Q160" s="60"/>
      <c r="R160" s="60"/>
      <c r="S160" s="61">
        <f>SUM(P160:R160)</f>
        <v>0</v>
      </c>
      <c r="T160" s="60"/>
      <c r="U160" s="60"/>
      <c r="V160" s="60"/>
      <c r="W160" s="61">
        <f>SUM(T160:V160)</f>
        <v>0</v>
      </c>
      <c r="X160" s="60"/>
      <c r="Y160" s="60"/>
      <c r="Z160" s="60"/>
      <c r="AA160" s="61">
        <f>SUM(X160:Z160)</f>
        <v>0</v>
      </c>
      <c r="AB160" s="60"/>
      <c r="AC160" s="60"/>
      <c r="AD160" s="60"/>
      <c r="AE160" s="61">
        <f>SUM(AB160:AD160)</f>
        <v>0</v>
      </c>
      <c r="AF160" s="62">
        <f t="shared" si="30"/>
        <v>2</v>
      </c>
    </row>
    <row r="161" spans="1:32" ht="15" hidden="1" customHeight="1" x14ac:dyDescent="0.35">
      <c r="A161" s="111" t="s">
        <v>296</v>
      </c>
      <c r="C161" s="63" t="s">
        <v>227</v>
      </c>
      <c r="D161" s="63"/>
      <c r="E161" s="63"/>
      <c r="F161" s="63"/>
      <c r="G161" s="61">
        <f>SUM(D161:F161)</f>
        <v>0</v>
      </c>
      <c r="H161" s="63"/>
      <c r="I161" s="63"/>
      <c r="J161" s="63"/>
      <c r="K161" s="61">
        <f>SUM(H161:J161)</f>
        <v>0</v>
      </c>
      <c r="L161" s="63"/>
      <c r="M161" s="63"/>
      <c r="N161" s="63"/>
      <c r="O161" s="61">
        <f>SUM(L161:N161)</f>
        <v>0</v>
      </c>
      <c r="P161" s="63"/>
      <c r="Q161" s="63"/>
      <c r="R161" s="63"/>
      <c r="S161" s="61">
        <f>SUM(P161:R161)</f>
        <v>0</v>
      </c>
      <c r="T161" s="63"/>
      <c r="U161" s="63"/>
      <c r="V161" s="63"/>
      <c r="W161" s="61">
        <f>SUM(T161:V161)</f>
        <v>0</v>
      </c>
      <c r="X161" s="63"/>
      <c r="Y161" s="63"/>
      <c r="Z161" s="63"/>
      <c r="AA161" s="61">
        <f>SUM(X161:Z161)</f>
        <v>0</v>
      </c>
      <c r="AB161" s="63"/>
      <c r="AC161" s="63"/>
      <c r="AD161" s="63"/>
      <c r="AE161" s="61">
        <f>SUM(AB161:AD161)</f>
        <v>0</v>
      </c>
      <c r="AF161" s="64">
        <f t="shared" si="30"/>
        <v>0</v>
      </c>
    </row>
    <row r="162" spans="1:32" hidden="1" x14ac:dyDescent="0.35">
      <c r="A162" s="111"/>
      <c r="C162" s="60" t="s">
        <v>228</v>
      </c>
      <c r="D162" s="60">
        <v>2</v>
      </c>
      <c r="E162" s="60"/>
      <c r="F162" s="60"/>
      <c r="G162" s="61">
        <f>SUM(D162:F162)</f>
        <v>2</v>
      </c>
      <c r="H162" s="60"/>
      <c r="I162" s="60"/>
      <c r="J162" s="60"/>
      <c r="K162" s="61">
        <f>SUM(H162:J162)</f>
        <v>0</v>
      </c>
      <c r="L162" s="60"/>
      <c r="M162" s="60"/>
      <c r="N162" s="60"/>
      <c r="O162" s="61">
        <f>SUM(L162:N162)</f>
        <v>0</v>
      </c>
      <c r="P162" s="60"/>
      <c r="Q162" s="60"/>
      <c r="R162" s="60"/>
      <c r="S162" s="61">
        <f>SUM(P162:R162)</f>
        <v>0</v>
      </c>
      <c r="T162" s="60"/>
      <c r="U162" s="60"/>
      <c r="V162" s="60"/>
      <c r="W162" s="61">
        <f>SUM(T162:V162)</f>
        <v>0</v>
      </c>
      <c r="X162" s="60"/>
      <c r="Y162" s="60"/>
      <c r="Z162" s="60"/>
      <c r="AA162" s="61">
        <f>SUM(X162:Z162)</f>
        <v>0</v>
      </c>
      <c r="AB162" s="60"/>
      <c r="AC162" s="60"/>
      <c r="AD162" s="60"/>
      <c r="AE162" s="61">
        <f>SUM(AB162:AD162)</f>
        <v>0</v>
      </c>
      <c r="AF162" s="65">
        <f t="shared" si="30"/>
        <v>2</v>
      </c>
    </row>
    <row r="163" spans="1:32" hidden="1" x14ac:dyDescent="0.35">
      <c r="A163" s="111"/>
      <c r="C163" s="63" t="s">
        <v>235</v>
      </c>
      <c r="D163" s="63">
        <v>4</v>
      </c>
      <c r="E163" s="63"/>
      <c r="F163" s="63"/>
      <c r="G163" s="61">
        <f>SUM(D163:F163)</f>
        <v>4</v>
      </c>
      <c r="H163" s="63">
        <v>1</v>
      </c>
      <c r="I163" s="63"/>
      <c r="J163" s="63"/>
      <c r="K163" s="61">
        <f>SUM(H163:J163)</f>
        <v>1</v>
      </c>
      <c r="L163" s="63"/>
      <c r="M163" s="63"/>
      <c r="N163" s="63"/>
      <c r="O163" s="61">
        <f>SUM(L163:N163)</f>
        <v>0</v>
      </c>
      <c r="P163" s="63"/>
      <c r="Q163" s="63"/>
      <c r="R163" s="63"/>
      <c r="S163" s="61">
        <f>SUM(P163:R163)</f>
        <v>0</v>
      </c>
      <c r="T163" s="63"/>
      <c r="U163" s="63"/>
      <c r="V163" s="63"/>
      <c r="W163" s="61">
        <f>SUM(T163:V163)</f>
        <v>0</v>
      </c>
      <c r="X163" s="63"/>
      <c r="Y163" s="63"/>
      <c r="Z163" s="63"/>
      <c r="AA163" s="61">
        <f>SUM(X163:Z163)</f>
        <v>0</v>
      </c>
      <c r="AB163" s="63"/>
      <c r="AC163" s="63"/>
      <c r="AD163" s="63"/>
      <c r="AE163" s="61">
        <f>SUM(AB163:AD163)</f>
        <v>0</v>
      </c>
      <c r="AF163" s="63">
        <f t="shared" si="30"/>
        <v>5</v>
      </c>
    </row>
    <row r="164" spans="1:32" x14ac:dyDescent="0.35">
      <c r="A164" s="66" t="s">
        <v>295</v>
      </c>
      <c r="B164" s="67">
        <v>8</v>
      </c>
      <c r="C164" s="66"/>
      <c r="D164" s="66">
        <f t="shared" ref="D164:AE164" si="38">SUM(D160:D163)</f>
        <v>8</v>
      </c>
      <c r="E164" s="66">
        <f t="shared" si="38"/>
        <v>0</v>
      </c>
      <c r="F164" s="66">
        <f t="shared" si="38"/>
        <v>0</v>
      </c>
      <c r="G164" s="61">
        <f t="shared" si="38"/>
        <v>8</v>
      </c>
      <c r="H164" s="66">
        <f t="shared" si="38"/>
        <v>1</v>
      </c>
      <c r="I164" s="66">
        <f t="shared" si="38"/>
        <v>0</v>
      </c>
      <c r="J164" s="66">
        <f t="shared" si="38"/>
        <v>0</v>
      </c>
      <c r="K164" s="61">
        <f t="shared" si="38"/>
        <v>1</v>
      </c>
      <c r="L164" s="66">
        <f t="shared" si="38"/>
        <v>0</v>
      </c>
      <c r="M164" s="66">
        <f t="shared" si="38"/>
        <v>0</v>
      </c>
      <c r="N164" s="66">
        <f t="shared" si="38"/>
        <v>0</v>
      </c>
      <c r="O164" s="61">
        <f t="shared" si="38"/>
        <v>0</v>
      </c>
      <c r="P164" s="66">
        <f t="shared" si="38"/>
        <v>0</v>
      </c>
      <c r="Q164" s="66">
        <f t="shared" si="38"/>
        <v>0</v>
      </c>
      <c r="R164" s="66">
        <f t="shared" si="38"/>
        <v>0</v>
      </c>
      <c r="S164" s="61">
        <f t="shared" si="38"/>
        <v>0</v>
      </c>
      <c r="T164" s="66">
        <f t="shared" si="38"/>
        <v>0</v>
      </c>
      <c r="U164" s="66">
        <f t="shared" si="38"/>
        <v>0</v>
      </c>
      <c r="V164" s="66">
        <f t="shared" si="38"/>
        <v>0</v>
      </c>
      <c r="W164" s="61">
        <f t="shared" si="38"/>
        <v>0</v>
      </c>
      <c r="X164" s="66">
        <f t="shared" si="38"/>
        <v>0</v>
      </c>
      <c r="Y164" s="66">
        <f t="shared" si="38"/>
        <v>0</v>
      </c>
      <c r="Z164" s="66">
        <f t="shared" si="38"/>
        <v>0</v>
      </c>
      <c r="AA164" s="61">
        <f t="shared" si="38"/>
        <v>0</v>
      </c>
      <c r="AB164" s="66">
        <f t="shared" si="38"/>
        <v>0</v>
      </c>
      <c r="AC164" s="66">
        <f t="shared" si="38"/>
        <v>0</v>
      </c>
      <c r="AD164" s="66">
        <f t="shared" si="38"/>
        <v>0</v>
      </c>
      <c r="AE164" s="61">
        <f t="shared" si="38"/>
        <v>0</v>
      </c>
      <c r="AF164" s="68">
        <f t="shared" si="30"/>
        <v>9</v>
      </c>
    </row>
    <row r="165" spans="1:32" hidden="1" x14ac:dyDescent="0.35">
      <c r="A165" s="59" t="s">
        <v>297</v>
      </c>
      <c r="B165" s="54">
        <v>18</v>
      </c>
      <c r="C165" s="60" t="s">
        <v>225</v>
      </c>
      <c r="D165" s="60">
        <v>47</v>
      </c>
      <c r="E165" s="60">
        <v>5</v>
      </c>
      <c r="F165" s="60">
        <v>2</v>
      </c>
      <c r="G165" s="61">
        <f>SUM(D165:F165)</f>
        <v>54</v>
      </c>
      <c r="H165" s="60"/>
      <c r="I165" s="60"/>
      <c r="J165" s="60"/>
      <c r="K165" s="61">
        <f>SUM(H165:J165)</f>
        <v>0</v>
      </c>
      <c r="L165" s="60">
        <v>1</v>
      </c>
      <c r="M165" s="60">
        <v>1</v>
      </c>
      <c r="N165" s="60">
        <v>1</v>
      </c>
      <c r="O165" s="61">
        <f>SUM(L165:N165)</f>
        <v>3</v>
      </c>
      <c r="P165" s="60"/>
      <c r="Q165" s="60"/>
      <c r="R165" s="60"/>
      <c r="S165" s="61">
        <f>SUM(P165:R165)</f>
        <v>0</v>
      </c>
      <c r="T165" s="60"/>
      <c r="U165" s="60"/>
      <c r="V165" s="60"/>
      <c r="W165" s="61">
        <f>SUM(T165:V165)</f>
        <v>0</v>
      </c>
      <c r="X165" s="60">
        <v>1</v>
      </c>
      <c r="Y165" s="60"/>
      <c r="Z165" s="60"/>
      <c r="AA165" s="61">
        <f>SUM(X165:Z165)</f>
        <v>1</v>
      </c>
      <c r="AB165" s="60"/>
      <c r="AC165" s="60"/>
      <c r="AD165" s="60"/>
      <c r="AE165" s="61">
        <f>SUM(AB165:AD165)</f>
        <v>0</v>
      </c>
      <c r="AF165" s="62">
        <f t="shared" si="30"/>
        <v>58</v>
      </c>
    </row>
    <row r="166" spans="1:32" hidden="1" x14ac:dyDescent="0.35">
      <c r="A166" s="111" t="s">
        <v>298</v>
      </c>
      <c r="C166" s="63" t="s">
        <v>227</v>
      </c>
      <c r="D166" s="63">
        <v>37</v>
      </c>
      <c r="E166" s="63">
        <v>3</v>
      </c>
      <c r="F166" s="63">
        <v>4</v>
      </c>
      <c r="G166" s="61">
        <f>SUM(D166:F166)</f>
        <v>44</v>
      </c>
      <c r="H166" s="63"/>
      <c r="I166" s="63"/>
      <c r="J166" s="63">
        <v>1</v>
      </c>
      <c r="K166" s="61">
        <f>SUM(H166:J166)</f>
        <v>1</v>
      </c>
      <c r="L166" s="63"/>
      <c r="M166" s="63">
        <v>1</v>
      </c>
      <c r="N166" s="63">
        <v>1</v>
      </c>
      <c r="O166" s="61">
        <f>SUM(L166:N166)</f>
        <v>2</v>
      </c>
      <c r="P166" s="63"/>
      <c r="Q166" s="63"/>
      <c r="R166" s="63"/>
      <c r="S166" s="61">
        <f>SUM(P166:R166)</f>
        <v>0</v>
      </c>
      <c r="T166" s="63"/>
      <c r="U166" s="63"/>
      <c r="V166" s="63"/>
      <c r="W166" s="61">
        <f>SUM(T166:V166)</f>
        <v>0</v>
      </c>
      <c r="X166" s="63"/>
      <c r="Y166" s="63"/>
      <c r="Z166" s="63">
        <v>1</v>
      </c>
      <c r="AA166" s="61">
        <f>SUM(X166:Z166)</f>
        <v>1</v>
      </c>
      <c r="AB166" s="63"/>
      <c r="AC166" s="63"/>
      <c r="AD166" s="63">
        <v>1</v>
      </c>
      <c r="AE166" s="61">
        <f>SUM(AB166:AD166)</f>
        <v>1</v>
      </c>
      <c r="AF166" s="64">
        <f t="shared" si="30"/>
        <v>49</v>
      </c>
    </row>
    <row r="167" spans="1:32" hidden="1" x14ac:dyDescent="0.35">
      <c r="A167" s="111"/>
      <c r="C167" s="60" t="s">
        <v>228</v>
      </c>
      <c r="D167" s="60">
        <v>44</v>
      </c>
      <c r="E167" s="60">
        <v>10</v>
      </c>
      <c r="F167" s="60">
        <v>7</v>
      </c>
      <c r="G167" s="61">
        <f>SUM(D167:F167)</f>
        <v>61</v>
      </c>
      <c r="H167" s="60"/>
      <c r="I167" s="60"/>
      <c r="J167" s="60">
        <v>1</v>
      </c>
      <c r="K167" s="61">
        <f>SUM(H167:J167)</f>
        <v>1</v>
      </c>
      <c r="L167" s="60"/>
      <c r="M167" s="60"/>
      <c r="N167" s="60">
        <v>1</v>
      </c>
      <c r="O167" s="61">
        <f>SUM(L167:N167)</f>
        <v>1</v>
      </c>
      <c r="P167" s="60"/>
      <c r="Q167" s="60"/>
      <c r="R167" s="60"/>
      <c r="S167" s="61">
        <f>SUM(P167:R167)</f>
        <v>0</v>
      </c>
      <c r="T167" s="60"/>
      <c r="U167" s="60"/>
      <c r="V167" s="60"/>
      <c r="W167" s="61">
        <f>SUM(T167:V167)</f>
        <v>0</v>
      </c>
      <c r="X167" s="60"/>
      <c r="Y167" s="60"/>
      <c r="Z167" s="60"/>
      <c r="AA167" s="61">
        <f>SUM(X167:Z167)</f>
        <v>0</v>
      </c>
      <c r="AB167" s="60"/>
      <c r="AC167" s="60"/>
      <c r="AD167" s="60"/>
      <c r="AE167" s="61">
        <f>SUM(AB167:AD167)</f>
        <v>0</v>
      </c>
      <c r="AF167" s="65">
        <f t="shared" si="30"/>
        <v>63</v>
      </c>
    </row>
    <row r="168" spans="1:32" hidden="1" x14ac:dyDescent="0.35">
      <c r="A168" s="111"/>
      <c r="C168" s="63" t="s">
        <v>235</v>
      </c>
      <c r="D168" s="63">
        <v>51</v>
      </c>
      <c r="E168" s="63"/>
      <c r="F168" s="63">
        <v>4</v>
      </c>
      <c r="G168" s="61">
        <f>SUM(D168:F168)</f>
        <v>55</v>
      </c>
      <c r="H168" s="63"/>
      <c r="I168" s="63"/>
      <c r="J168" s="63"/>
      <c r="K168" s="61">
        <f>SUM(H168:J168)</f>
        <v>0</v>
      </c>
      <c r="L168" s="63">
        <v>1</v>
      </c>
      <c r="M168" s="63">
        <v>1</v>
      </c>
      <c r="N168" s="63"/>
      <c r="O168" s="61">
        <f>SUM(L168:N168)</f>
        <v>2</v>
      </c>
      <c r="P168" s="63"/>
      <c r="Q168" s="63"/>
      <c r="R168" s="63"/>
      <c r="S168" s="61">
        <f>SUM(P168:R168)</f>
        <v>0</v>
      </c>
      <c r="T168" s="63"/>
      <c r="U168" s="63"/>
      <c r="V168" s="63"/>
      <c r="W168" s="61">
        <f>SUM(T168:V168)</f>
        <v>0</v>
      </c>
      <c r="X168" s="63">
        <v>1</v>
      </c>
      <c r="Y168" s="63"/>
      <c r="Z168" s="63"/>
      <c r="AA168" s="61">
        <f>SUM(X168:Z168)</f>
        <v>1</v>
      </c>
      <c r="AB168" s="63"/>
      <c r="AC168" s="63"/>
      <c r="AD168" s="63"/>
      <c r="AE168" s="61">
        <f>SUM(AB168:AD168)</f>
        <v>0</v>
      </c>
      <c r="AF168" s="63">
        <f t="shared" si="30"/>
        <v>58</v>
      </c>
    </row>
    <row r="169" spans="1:32" x14ac:dyDescent="0.35">
      <c r="A169" s="66" t="s">
        <v>297</v>
      </c>
      <c r="B169" s="67">
        <v>18</v>
      </c>
      <c r="C169" s="66"/>
      <c r="D169" s="66">
        <f t="shared" ref="D169:AE169" si="39">SUM(D165:D168)</f>
        <v>179</v>
      </c>
      <c r="E169" s="66">
        <f t="shared" si="39"/>
        <v>18</v>
      </c>
      <c r="F169" s="66">
        <f t="shared" si="39"/>
        <v>17</v>
      </c>
      <c r="G169" s="61">
        <f t="shared" si="39"/>
        <v>214</v>
      </c>
      <c r="H169" s="66">
        <f t="shared" si="39"/>
        <v>0</v>
      </c>
      <c r="I169" s="66">
        <f t="shared" si="39"/>
        <v>0</v>
      </c>
      <c r="J169" s="66">
        <f t="shared" si="39"/>
        <v>2</v>
      </c>
      <c r="K169" s="61">
        <f t="shared" si="39"/>
        <v>2</v>
      </c>
      <c r="L169" s="66">
        <f t="shared" si="39"/>
        <v>2</v>
      </c>
      <c r="M169" s="66">
        <f t="shared" si="39"/>
        <v>3</v>
      </c>
      <c r="N169" s="66">
        <f t="shared" si="39"/>
        <v>3</v>
      </c>
      <c r="O169" s="61">
        <f t="shared" si="39"/>
        <v>8</v>
      </c>
      <c r="P169" s="66">
        <f t="shared" si="39"/>
        <v>0</v>
      </c>
      <c r="Q169" s="66">
        <f t="shared" si="39"/>
        <v>0</v>
      </c>
      <c r="R169" s="66">
        <f t="shared" si="39"/>
        <v>0</v>
      </c>
      <c r="S169" s="61">
        <f t="shared" si="39"/>
        <v>0</v>
      </c>
      <c r="T169" s="66">
        <f t="shared" si="39"/>
        <v>0</v>
      </c>
      <c r="U169" s="66">
        <f t="shared" si="39"/>
        <v>0</v>
      </c>
      <c r="V169" s="66">
        <f t="shared" si="39"/>
        <v>0</v>
      </c>
      <c r="W169" s="61">
        <f t="shared" si="39"/>
        <v>0</v>
      </c>
      <c r="X169" s="66">
        <f t="shared" si="39"/>
        <v>2</v>
      </c>
      <c r="Y169" s="66">
        <f t="shared" si="39"/>
        <v>0</v>
      </c>
      <c r="Z169" s="66">
        <f t="shared" si="39"/>
        <v>1</v>
      </c>
      <c r="AA169" s="61">
        <f t="shared" si="39"/>
        <v>3</v>
      </c>
      <c r="AB169" s="66">
        <f t="shared" si="39"/>
        <v>0</v>
      </c>
      <c r="AC169" s="66">
        <f t="shared" si="39"/>
        <v>0</v>
      </c>
      <c r="AD169" s="66">
        <f t="shared" si="39"/>
        <v>1</v>
      </c>
      <c r="AE169" s="61">
        <f t="shared" si="39"/>
        <v>1</v>
      </c>
      <c r="AF169" s="68">
        <f t="shared" si="30"/>
        <v>228</v>
      </c>
    </row>
    <row r="170" spans="1:32" hidden="1" x14ac:dyDescent="0.35">
      <c r="A170" s="59" t="s">
        <v>299</v>
      </c>
      <c r="B170" s="54">
        <v>11</v>
      </c>
      <c r="C170" s="60" t="s">
        <v>225</v>
      </c>
      <c r="D170" s="60">
        <v>5</v>
      </c>
      <c r="E170" s="60"/>
      <c r="F170" s="60"/>
      <c r="G170" s="61">
        <f>SUM(D170:F170)</f>
        <v>5</v>
      </c>
      <c r="H170" s="60"/>
      <c r="I170" s="60"/>
      <c r="J170" s="60"/>
      <c r="K170" s="61">
        <f>SUM(H170:J170)</f>
        <v>0</v>
      </c>
      <c r="L170" s="60"/>
      <c r="M170" s="60"/>
      <c r="N170" s="60"/>
      <c r="O170" s="61">
        <f>SUM(L170:N170)</f>
        <v>0</v>
      </c>
      <c r="P170" s="60"/>
      <c r="Q170" s="60"/>
      <c r="R170" s="60"/>
      <c r="S170" s="61">
        <f>SUM(P170:R170)</f>
        <v>0</v>
      </c>
      <c r="T170" s="60"/>
      <c r="U170" s="60"/>
      <c r="V170" s="60"/>
      <c r="W170" s="61">
        <f>SUM(T170:V170)</f>
        <v>0</v>
      </c>
      <c r="X170" s="60"/>
      <c r="Y170" s="60"/>
      <c r="Z170" s="60"/>
      <c r="AA170" s="61">
        <f>SUM(X170:Z170)</f>
        <v>0</v>
      </c>
      <c r="AB170" s="60"/>
      <c r="AC170" s="60"/>
      <c r="AD170" s="60"/>
      <c r="AE170" s="61">
        <f>SUM(AB170:AD170)</f>
        <v>0</v>
      </c>
      <c r="AF170" s="62">
        <f t="shared" si="30"/>
        <v>5</v>
      </c>
    </row>
    <row r="171" spans="1:32" hidden="1" x14ac:dyDescent="0.35">
      <c r="A171" s="111" t="s">
        <v>300</v>
      </c>
      <c r="C171" s="63" t="s">
        <v>227</v>
      </c>
      <c r="D171" s="63">
        <v>3</v>
      </c>
      <c r="E171" s="63"/>
      <c r="F171" s="63"/>
      <c r="G171" s="61">
        <f>SUM(D171:F171)</f>
        <v>3</v>
      </c>
      <c r="H171" s="63"/>
      <c r="I171" s="63"/>
      <c r="J171" s="63"/>
      <c r="K171" s="61">
        <f>SUM(H171:J171)</f>
        <v>0</v>
      </c>
      <c r="L171" s="63">
        <v>1</v>
      </c>
      <c r="M171" s="63"/>
      <c r="N171" s="63"/>
      <c r="O171" s="61">
        <f>SUM(L171:N171)</f>
        <v>1</v>
      </c>
      <c r="P171" s="63"/>
      <c r="Q171" s="63"/>
      <c r="R171" s="63"/>
      <c r="S171" s="61">
        <f>SUM(P171:R171)</f>
        <v>0</v>
      </c>
      <c r="T171" s="63"/>
      <c r="U171" s="63"/>
      <c r="V171" s="63"/>
      <c r="W171" s="61">
        <f>SUM(T171:V171)</f>
        <v>0</v>
      </c>
      <c r="X171" s="63"/>
      <c r="Y171" s="63"/>
      <c r="Z171" s="63"/>
      <c r="AA171" s="61">
        <f>SUM(X171:Z171)</f>
        <v>0</v>
      </c>
      <c r="AB171" s="63"/>
      <c r="AC171" s="63"/>
      <c r="AD171" s="63"/>
      <c r="AE171" s="61">
        <f>SUM(AB171:AD171)</f>
        <v>0</v>
      </c>
      <c r="AF171" s="64">
        <f t="shared" si="30"/>
        <v>4</v>
      </c>
    </row>
    <row r="172" spans="1:32" hidden="1" x14ac:dyDescent="0.35">
      <c r="A172" s="111"/>
      <c r="C172" s="60" t="s">
        <v>228</v>
      </c>
      <c r="D172" s="60">
        <v>4</v>
      </c>
      <c r="E172" s="60"/>
      <c r="F172" s="60"/>
      <c r="G172" s="61">
        <f>SUM(D172:F172)</f>
        <v>4</v>
      </c>
      <c r="H172" s="60"/>
      <c r="I172" s="60"/>
      <c r="J172" s="60"/>
      <c r="K172" s="61">
        <f>SUM(H172:J172)</f>
        <v>0</v>
      </c>
      <c r="L172" s="60"/>
      <c r="M172" s="60"/>
      <c r="N172" s="60"/>
      <c r="O172" s="61">
        <f>SUM(L172:N172)</f>
        <v>0</v>
      </c>
      <c r="P172" s="60"/>
      <c r="Q172" s="60"/>
      <c r="R172" s="60"/>
      <c r="S172" s="61">
        <f>SUM(P172:R172)</f>
        <v>0</v>
      </c>
      <c r="T172" s="60"/>
      <c r="U172" s="60"/>
      <c r="V172" s="60"/>
      <c r="W172" s="61">
        <f>SUM(T172:V172)</f>
        <v>0</v>
      </c>
      <c r="X172" s="60"/>
      <c r="Y172" s="60"/>
      <c r="Z172" s="60"/>
      <c r="AA172" s="61">
        <f>SUM(X172:Z172)</f>
        <v>0</v>
      </c>
      <c r="AB172" s="60"/>
      <c r="AC172" s="60"/>
      <c r="AD172" s="60"/>
      <c r="AE172" s="61">
        <f>SUM(AB172:AD172)</f>
        <v>0</v>
      </c>
      <c r="AF172" s="65">
        <f t="shared" si="30"/>
        <v>4</v>
      </c>
    </row>
    <row r="173" spans="1:32" hidden="1" x14ac:dyDescent="0.35">
      <c r="A173" s="111"/>
      <c r="C173" s="63" t="s">
        <v>235</v>
      </c>
      <c r="D173" s="63">
        <v>14</v>
      </c>
      <c r="E173" s="63"/>
      <c r="F173" s="63"/>
      <c r="G173" s="61">
        <f>SUM(D173:F173)</f>
        <v>14</v>
      </c>
      <c r="H173" s="63"/>
      <c r="I173" s="63"/>
      <c r="J173" s="63"/>
      <c r="K173" s="61">
        <f>SUM(H173:J173)</f>
        <v>0</v>
      </c>
      <c r="L173" s="63">
        <v>1</v>
      </c>
      <c r="M173" s="63"/>
      <c r="N173" s="63"/>
      <c r="O173" s="61">
        <f>SUM(L173:N173)</f>
        <v>1</v>
      </c>
      <c r="P173" s="63"/>
      <c r="Q173" s="63"/>
      <c r="R173" s="63"/>
      <c r="S173" s="61">
        <f>SUM(P173:R173)</f>
        <v>0</v>
      </c>
      <c r="T173" s="63"/>
      <c r="U173" s="63"/>
      <c r="V173" s="63"/>
      <c r="W173" s="61">
        <f>SUM(T173:V173)</f>
        <v>0</v>
      </c>
      <c r="X173" s="63"/>
      <c r="Y173" s="63"/>
      <c r="Z173" s="63"/>
      <c r="AA173" s="61">
        <f>SUM(X173:Z173)</f>
        <v>0</v>
      </c>
      <c r="AB173" s="63"/>
      <c r="AC173" s="63"/>
      <c r="AD173" s="63"/>
      <c r="AE173" s="61">
        <f>SUM(AB173:AD173)</f>
        <v>0</v>
      </c>
      <c r="AF173" s="63">
        <f t="shared" si="30"/>
        <v>15</v>
      </c>
    </row>
    <row r="174" spans="1:32" x14ac:dyDescent="0.35">
      <c r="A174" s="66" t="s">
        <v>299</v>
      </c>
      <c r="B174" s="67">
        <v>11</v>
      </c>
      <c r="C174" s="66"/>
      <c r="D174" s="66">
        <f t="shared" ref="D174:AE174" si="40">SUM(D170:D173)</f>
        <v>26</v>
      </c>
      <c r="E174" s="66">
        <f t="shared" si="40"/>
        <v>0</v>
      </c>
      <c r="F174" s="66">
        <f t="shared" si="40"/>
        <v>0</v>
      </c>
      <c r="G174" s="61">
        <f t="shared" si="40"/>
        <v>26</v>
      </c>
      <c r="H174" s="66">
        <f t="shared" si="40"/>
        <v>0</v>
      </c>
      <c r="I174" s="66">
        <f t="shared" si="40"/>
        <v>0</v>
      </c>
      <c r="J174" s="66">
        <f t="shared" si="40"/>
        <v>0</v>
      </c>
      <c r="K174" s="61">
        <f t="shared" si="40"/>
        <v>0</v>
      </c>
      <c r="L174" s="66">
        <f t="shared" si="40"/>
        <v>2</v>
      </c>
      <c r="M174" s="66">
        <f t="shared" si="40"/>
        <v>0</v>
      </c>
      <c r="N174" s="66">
        <f t="shared" si="40"/>
        <v>0</v>
      </c>
      <c r="O174" s="61">
        <f t="shared" si="40"/>
        <v>2</v>
      </c>
      <c r="P174" s="66">
        <f t="shared" si="40"/>
        <v>0</v>
      </c>
      <c r="Q174" s="66">
        <f t="shared" si="40"/>
        <v>0</v>
      </c>
      <c r="R174" s="66">
        <f t="shared" si="40"/>
        <v>0</v>
      </c>
      <c r="S174" s="61">
        <f t="shared" si="40"/>
        <v>0</v>
      </c>
      <c r="T174" s="66">
        <f t="shared" si="40"/>
        <v>0</v>
      </c>
      <c r="U174" s="66">
        <f t="shared" si="40"/>
        <v>0</v>
      </c>
      <c r="V174" s="66">
        <f t="shared" si="40"/>
        <v>0</v>
      </c>
      <c r="W174" s="61">
        <f t="shared" si="40"/>
        <v>0</v>
      </c>
      <c r="X174" s="66">
        <f t="shared" si="40"/>
        <v>0</v>
      </c>
      <c r="Y174" s="66">
        <f t="shared" si="40"/>
        <v>0</v>
      </c>
      <c r="Z174" s="66">
        <f t="shared" si="40"/>
        <v>0</v>
      </c>
      <c r="AA174" s="61">
        <f t="shared" si="40"/>
        <v>0</v>
      </c>
      <c r="AB174" s="66">
        <f t="shared" si="40"/>
        <v>0</v>
      </c>
      <c r="AC174" s="66">
        <f t="shared" si="40"/>
        <v>0</v>
      </c>
      <c r="AD174" s="66">
        <f t="shared" si="40"/>
        <v>0</v>
      </c>
      <c r="AE174" s="61">
        <f t="shared" si="40"/>
        <v>0</v>
      </c>
      <c r="AF174" s="68">
        <f t="shared" si="30"/>
        <v>28</v>
      </c>
    </row>
    <row r="175" spans="1:32" hidden="1" x14ac:dyDescent="0.35">
      <c r="A175" s="59" t="s">
        <v>301</v>
      </c>
      <c r="B175" s="54">
        <v>30</v>
      </c>
      <c r="C175" s="60" t="s">
        <v>225</v>
      </c>
      <c r="D175" s="60"/>
      <c r="E175" s="60"/>
      <c r="F175" s="60"/>
      <c r="G175" s="61">
        <f>SUM(D175:F175)</f>
        <v>0</v>
      </c>
      <c r="H175" s="60"/>
      <c r="I175" s="60"/>
      <c r="J175" s="60"/>
      <c r="K175" s="61">
        <f>SUM(H175:J175)</f>
        <v>0</v>
      </c>
      <c r="L175" s="60"/>
      <c r="M175" s="60"/>
      <c r="N175" s="60"/>
      <c r="O175" s="61">
        <f>SUM(L175:N175)</f>
        <v>0</v>
      </c>
      <c r="P175" s="60"/>
      <c r="Q175" s="60"/>
      <c r="R175" s="60"/>
      <c r="S175" s="61">
        <f>SUM(P175:R175)</f>
        <v>0</v>
      </c>
      <c r="T175" s="60"/>
      <c r="U175" s="60"/>
      <c r="V175" s="60"/>
      <c r="W175" s="61">
        <f>SUM(T175:V175)</f>
        <v>0</v>
      </c>
      <c r="X175" s="60">
        <v>1</v>
      </c>
      <c r="Y175" s="60"/>
      <c r="Z175" s="60"/>
      <c r="AA175" s="61">
        <f>SUM(X175:Z175)</f>
        <v>1</v>
      </c>
      <c r="AB175" s="60">
        <v>6</v>
      </c>
      <c r="AC175" s="60"/>
      <c r="AD175" s="60"/>
      <c r="AE175" s="61">
        <f>SUM(AB175:AD175)</f>
        <v>6</v>
      </c>
      <c r="AF175" s="62">
        <f t="shared" si="30"/>
        <v>7</v>
      </c>
    </row>
    <row r="176" spans="1:32" hidden="1" x14ac:dyDescent="0.35">
      <c r="A176" s="111" t="s">
        <v>263</v>
      </c>
      <c r="C176" s="63" t="s">
        <v>227</v>
      </c>
      <c r="D176" s="63"/>
      <c r="E176" s="63"/>
      <c r="F176" s="63"/>
      <c r="G176" s="61">
        <f>SUM(D176:F176)</f>
        <v>0</v>
      </c>
      <c r="H176" s="63"/>
      <c r="I176" s="63"/>
      <c r="J176" s="63"/>
      <c r="K176" s="61">
        <f>SUM(H176:J176)</f>
        <v>0</v>
      </c>
      <c r="L176" s="63">
        <v>3</v>
      </c>
      <c r="M176" s="63"/>
      <c r="N176" s="63"/>
      <c r="O176" s="61">
        <f>SUM(L176:N176)</f>
        <v>3</v>
      </c>
      <c r="P176" s="63"/>
      <c r="Q176" s="63"/>
      <c r="R176" s="63"/>
      <c r="S176" s="61">
        <f>SUM(P176:R176)</f>
        <v>0</v>
      </c>
      <c r="T176" s="63"/>
      <c r="U176" s="63"/>
      <c r="V176" s="63"/>
      <c r="W176" s="61">
        <f>SUM(T176:V176)</f>
        <v>0</v>
      </c>
      <c r="X176" s="63">
        <v>6</v>
      </c>
      <c r="Y176" s="63"/>
      <c r="Z176" s="63"/>
      <c r="AA176" s="61">
        <f>SUM(X176:Z176)</f>
        <v>6</v>
      </c>
      <c r="AB176" s="63">
        <v>5</v>
      </c>
      <c r="AC176" s="63">
        <v>2</v>
      </c>
      <c r="AD176" s="63"/>
      <c r="AE176" s="61">
        <f>SUM(AB176:AD176)</f>
        <v>7</v>
      </c>
      <c r="AF176" s="64">
        <f t="shared" si="30"/>
        <v>16</v>
      </c>
    </row>
    <row r="177" spans="1:32" hidden="1" x14ac:dyDescent="0.35">
      <c r="A177" s="111"/>
      <c r="C177" s="60" t="s">
        <v>228</v>
      </c>
      <c r="D177" s="60"/>
      <c r="E177" s="60"/>
      <c r="F177" s="60"/>
      <c r="G177" s="61">
        <f>SUM(D177:F177)</f>
        <v>0</v>
      </c>
      <c r="H177" s="60"/>
      <c r="I177" s="60"/>
      <c r="J177" s="60"/>
      <c r="K177" s="61">
        <f>SUM(H177:J177)</f>
        <v>0</v>
      </c>
      <c r="L177" s="60">
        <v>1</v>
      </c>
      <c r="M177" s="60">
        <v>1</v>
      </c>
      <c r="N177" s="60"/>
      <c r="O177" s="61">
        <f>SUM(L177:N177)</f>
        <v>2</v>
      </c>
      <c r="P177" s="60"/>
      <c r="Q177" s="60"/>
      <c r="R177" s="60"/>
      <c r="S177" s="61">
        <f>SUM(P177:R177)</f>
        <v>0</v>
      </c>
      <c r="T177" s="60"/>
      <c r="U177" s="60"/>
      <c r="V177" s="60"/>
      <c r="W177" s="61">
        <f>SUM(T177:V177)</f>
        <v>0</v>
      </c>
      <c r="X177" s="60">
        <v>1</v>
      </c>
      <c r="Y177" s="60"/>
      <c r="Z177" s="60"/>
      <c r="AA177" s="61">
        <f>SUM(X177:Z177)</f>
        <v>1</v>
      </c>
      <c r="AB177" s="60">
        <v>4</v>
      </c>
      <c r="AC177" s="60"/>
      <c r="AD177" s="60"/>
      <c r="AE177" s="61">
        <f>SUM(AB177:AD177)</f>
        <v>4</v>
      </c>
      <c r="AF177" s="65">
        <f t="shared" si="30"/>
        <v>7</v>
      </c>
    </row>
    <row r="178" spans="1:32" hidden="1" x14ac:dyDescent="0.35">
      <c r="A178" s="111"/>
      <c r="C178" s="63" t="s">
        <v>235</v>
      </c>
      <c r="D178" s="63"/>
      <c r="E178" s="63"/>
      <c r="F178" s="63"/>
      <c r="G178" s="61">
        <f>SUM(D178:F178)</f>
        <v>0</v>
      </c>
      <c r="H178" s="63"/>
      <c r="I178" s="63"/>
      <c r="J178" s="63"/>
      <c r="K178" s="61">
        <f>SUM(H178:J178)</f>
        <v>0</v>
      </c>
      <c r="L178" s="63">
        <v>9</v>
      </c>
      <c r="M178" s="63"/>
      <c r="N178" s="63"/>
      <c r="O178" s="61">
        <f>SUM(L178:N178)</f>
        <v>9</v>
      </c>
      <c r="P178" s="63"/>
      <c r="Q178" s="63"/>
      <c r="R178" s="63"/>
      <c r="S178" s="61">
        <f>SUM(P178:R178)</f>
        <v>0</v>
      </c>
      <c r="T178" s="63"/>
      <c r="U178" s="63"/>
      <c r="V178" s="63"/>
      <c r="W178" s="61">
        <f>SUM(T178:V178)</f>
        <v>0</v>
      </c>
      <c r="X178" s="63">
        <v>1</v>
      </c>
      <c r="Y178" s="63"/>
      <c r="Z178" s="63"/>
      <c r="AA178" s="61">
        <f>SUM(X178:Z178)</f>
        <v>1</v>
      </c>
      <c r="AB178" s="63">
        <v>3</v>
      </c>
      <c r="AC178" s="63">
        <v>1</v>
      </c>
      <c r="AD178" s="63"/>
      <c r="AE178" s="61">
        <f>SUM(AB178:AD178)</f>
        <v>4</v>
      </c>
      <c r="AF178" s="63">
        <f t="shared" si="30"/>
        <v>14</v>
      </c>
    </row>
    <row r="179" spans="1:32" x14ac:dyDescent="0.35">
      <c r="A179" s="66" t="s">
        <v>301</v>
      </c>
      <c r="B179" s="67">
        <v>30</v>
      </c>
      <c r="C179" s="66"/>
      <c r="D179" s="66">
        <f t="shared" ref="D179:AE179" si="41">SUM(D175:D178)</f>
        <v>0</v>
      </c>
      <c r="E179" s="66">
        <f t="shared" si="41"/>
        <v>0</v>
      </c>
      <c r="F179" s="66">
        <f t="shared" si="41"/>
        <v>0</v>
      </c>
      <c r="G179" s="61">
        <f t="shared" si="41"/>
        <v>0</v>
      </c>
      <c r="H179" s="66">
        <f t="shared" si="41"/>
        <v>0</v>
      </c>
      <c r="I179" s="66">
        <f t="shared" si="41"/>
        <v>0</v>
      </c>
      <c r="J179" s="66">
        <f t="shared" si="41"/>
        <v>0</v>
      </c>
      <c r="K179" s="61">
        <f t="shared" si="41"/>
        <v>0</v>
      </c>
      <c r="L179" s="66">
        <f t="shared" si="41"/>
        <v>13</v>
      </c>
      <c r="M179" s="66">
        <f t="shared" si="41"/>
        <v>1</v>
      </c>
      <c r="N179" s="66">
        <f t="shared" si="41"/>
        <v>0</v>
      </c>
      <c r="O179" s="61">
        <f t="shared" si="41"/>
        <v>14</v>
      </c>
      <c r="P179" s="66">
        <f t="shared" si="41"/>
        <v>0</v>
      </c>
      <c r="Q179" s="66">
        <f t="shared" si="41"/>
        <v>0</v>
      </c>
      <c r="R179" s="66">
        <f t="shared" si="41"/>
        <v>0</v>
      </c>
      <c r="S179" s="61">
        <f t="shared" si="41"/>
        <v>0</v>
      </c>
      <c r="T179" s="66">
        <f t="shared" si="41"/>
        <v>0</v>
      </c>
      <c r="U179" s="66">
        <f t="shared" si="41"/>
        <v>0</v>
      </c>
      <c r="V179" s="66">
        <f t="shared" si="41"/>
        <v>0</v>
      </c>
      <c r="W179" s="61">
        <f t="shared" si="41"/>
        <v>0</v>
      </c>
      <c r="X179" s="66">
        <f t="shared" si="41"/>
        <v>9</v>
      </c>
      <c r="Y179" s="66">
        <f t="shared" si="41"/>
        <v>0</v>
      </c>
      <c r="Z179" s="66">
        <f t="shared" si="41"/>
        <v>0</v>
      </c>
      <c r="AA179" s="61">
        <f t="shared" si="41"/>
        <v>9</v>
      </c>
      <c r="AB179" s="66">
        <f t="shared" si="41"/>
        <v>18</v>
      </c>
      <c r="AC179" s="66">
        <f t="shared" si="41"/>
        <v>3</v>
      </c>
      <c r="AD179" s="66">
        <f t="shared" si="41"/>
        <v>0</v>
      </c>
      <c r="AE179" s="61">
        <f t="shared" si="41"/>
        <v>21</v>
      </c>
      <c r="AF179" s="68">
        <f t="shared" si="30"/>
        <v>44</v>
      </c>
    </row>
    <row r="180" spans="1:32" hidden="1" x14ac:dyDescent="0.35">
      <c r="A180" s="59" t="s">
        <v>302</v>
      </c>
      <c r="B180" s="54" t="s">
        <v>303</v>
      </c>
      <c r="C180" s="60" t="s">
        <v>225</v>
      </c>
      <c r="D180" s="60">
        <v>14</v>
      </c>
      <c r="E180" s="60"/>
      <c r="F180" s="60"/>
      <c r="G180" s="61">
        <f>SUM(D180:F180)</f>
        <v>14</v>
      </c>
      <c r="H180" s="60"/>
      <c r="I180" s="60"/>
      <c r="J180" s="60"/>
      <c r="K180" s="61">
        <f>SUM(H180:J180)</f>
        <v>0</v>
      </c>
      <c r="L180" s="60">
        <v>1</v>
      </c>
      <c r="M180" s="60"/>
      <c r="N180" s="60"/>
      <c r="O180" s="61">
        <f>SUM(L180:N180)</f>
        <v>1</v>
      </c>
      <c r="P180" s="60"/>
      <c r="Q180" s="60"/>
      <c r="R180" s="60"/>
      <c r="S180" s="61">
        <f>SUM(P180:R180)</f>
        <v>0</v>
      </c>
      <c r="T180" s="60"/>
      <c r="U180" s="60"/>
      <c r="V180" s="60"/>
      <c r="W180" s="61">
        <f>SUM(T180:V180)</f>
        <v>0</v>
      </c>
      <c r="X180" s="60">
        <v>2</v>
      </c>
      <c r="Y180" s="60"/>
      <c r="Z180" s="60"/>
      <c r="AA180" s="61">
        <f>SUM(X180:Z180)</f>
        <v>2</v>
      </c>
      <c r="AB180" s="60"/>
      <c r="AC180" s="60"/>
      <c r="AD180" s="60"/>
      <c r="AE180" s="61">
        <f>SUM(AB180:AD180)</f>
        <v>0</v>
      </c>
      <c r="AF180" s="62">
        <f t="shared" si="30"/>
        <v>17</v>
      </c>
    </row>
    <row r="181" spans="1:32" hidden="1" x14ac:dyDescent="0.35">
      <c r="A181" s="111" t="s">
        <v>304</v>
      </c>
      <c r="C181" s="63" t="s">
        <v>227</v>
      </c>
      <c r="D181" s="63">
        <v>3</v>
      </c>
      <c r="E181" s="63"/>
      <c r="F181" s="63"/>
      <c r="G181" s="61">
        <f>SUM(D181:F181)</f>
        <v>3</v>
      </c>
      <c r="H181" s="63"/>
      <c r="I181" s="63"/>
      <c r="J181" s="63"/>
      <c r="K181" s="61">
        <f>SUM(H181:J181)</f>
        <v>0</v>
      </c>
      <c r="L181" s="63">
        <v>2</v>
      </c>
      <c r="M181" s="63"/>
      <c r="N181" s="63"/>
      <c r="O181" s="61">
        <f>SUM(L181:N181)</f>
        <v>2</v>
      </c>
      <c r="P181" s="63"/>
      <c r="Q181" s="63"/>
      <c r="R181" s="63"/>
      <c r="S181" s="61">
        <f>SUM(P181:R181)</f>
        <v>0</v>
      </c>
      <c r="T181" s="63"/>
      <c r="U181" s="63"/>
      <c r="V181" s="63"/>
      <c r="W181" s="61">
        <f>SUM(T181:V181)</f>
        <v>0</v>
      </c>
      <c r="X181" s="63">
        <v>2</v>
      </c>
      <c r="Y181" s="63"/>
      <c r="Z181" s="63"/>
      <c r="AA181" s="61">
        <f>SUM(X181:Z181)</f>
        <v>2</v>
      </c>
      <c r="AB181" s="63"/>
      <c r="AC181" s="63"/>
      <c r="AD181" s="63"/>
      <c r="AE181" s="61">
        <f>SUM(AB181:AD181)</f>
        <v>0</v>
      </c>
      <c r="AF181" s="64">
        <f t="shared" si="30"/>
        <v>7</v>
      </c>
    </row>
    <row r="182" spans="1:32" hidden="1" x14ac:dyDescent="0.35">
      <c r="A182" s="111"/>
      <c r="C182" s="60" t="s">
        <v>228</v>
      </c>
      <c r="D182" s="60">
        <v>7</v>
      </c>
      <c r="E182" s="60"/>
      <c r="F182" s="60"/>
      <c r="G182" s="61">
        <f>SUM(D182:F182)</f>
        <v>7</v>
      </c>
      <c r="H182" s="60"/>
      <c r="I182" s="60"/>
      <c r="J182" s="60"/>
      <c r="K182" s="61">
        <f>SUM(H182:J182)</f>
        <v>0</v>
      </c>
      <c r="L182" s="60">
        <v>4</v>
      </c>
      <c r="M182" s="60"/>
      <c r="N182" s="60"/>
      <c r="O182" s="61">
        <f>SUM(L182:N182)</f>
        <v>4</v>
      </c>
      <c r="P182" s="60"/>
      <c r="Q182" s="60"/>
      <c r="R182" s="60"/>
      <c r="S182" s="61">
        <f>SUM(P182:R182)</f>
        <v>0</v>
      </c>
      <c r="T182" s="60"/>
      <c r="U182" s="60"/>
      <c r="V182" s="60"/>
      <c r="W182" s="61">
        <f>SUM(T182:V182)</f>
        <v>0</v>
      </c>
      <c r="X182" s="60">
        <v>1</v>
      </c>
      <c r="Y182" s="60"/>
      <c r="Z182" s="60"/>
      <c r="AA182" s="61">
        <f>SUM(X182:Z182)</f>
        <v>1</v>
      </c>
      <c r="AB182" s="60">
        <v>3</v>
      </c>
      <c r="AC182" s="60"/>
      <c r="AD182" s="60"/>
      <c r="AE182" s="61">
        <f>SUM(AB182:AD182)</f>
        <v>3</v>
      </c>
      <c r="AF182" s="65">
        <f t="shared" si="30"/>
        <v>15</v>
      </c>
    </row>
    <row r="183" spans="1:32" hidden="1" x14ac:dyDescent="0.35">
      <c r="A183" s="111"/>
      <c r="C183" s="63" t="s">
        <v>235</v>
      </c>
      <c r="D183" s="63">
        <v>10</v>
      </c>
      <c r="E183" s="63"/>
      <c r="F183" s="63"/>
      <c r="G183" s="61">
        <f>SUM(D183:F183)</f>
        <v>10</v>
      </c>
      <c r="H183" s="63">
        <v>2</v>
      </c>
      <c r="I183" s="63"/>
      <c r="J183" s="63"/>
      <c r="K183" s="61">
        <f>SUM(H183:J183)</f>
        <v>2</v>
      </c>
      <c r="L183" s="63">
        <v>11</v>
      </c>
      <c r="M183" s="63"/>
      <c r="N183" s="63"/>
      <c r="O183" s="61">
        <f>SUM(L183:N183)</f>
        <v>11</v>
      </c>
      <c r="P183" s="63"/>
      <c r="Q183" s="63"/>
      <c r="R183" s="63"/>
      <c r="S183" s="61">
        <f>SUM(P183:R183)</f>
        <v>0</v>
      </c>
      <c r="T183" s="63"/>
      <c r="U183" s="63"/>
      <c r="V183" s="63"/>
      <c r="W183" s="61">
        <f>SUM(T183:V183)</f>
        <v>0</v>
      </c>
      <c r="X183" s="63"/>
      <c r="Y183" s="63"/>
      <c r="Z183" s="63"/>
      <c r="AA183" s="61">
        <f>SUM(X183:Z183)</f>
        <v>0</v>
      </c>
      <c r="AB183" s="63">
        <v>3</v>
      </c>
      <c r="AC183" s="63"/>
      <c r="AD183" s="63"/>
      <c r="AE183" s="61">
        <f>SUM(AB183:AD183)</f>
        <v>3</v>
      </c>
      <c r="AF183" s="63">
        <f t="shared" si="30"/>
        <v>26</v>
      </c>
    </row>
    <row r="184" spans="1:32" x14ac:dyDescent="0.35">
      <c r="A184" s="66" t="s">
        <v>302</v>
      </c>
      <c r="B184" s="67" t="s">
        <v>303</v>
      </c>
      <c r="C184" s="66"/>
      <c r="D184" s="66">
        <f t="shared" ref="D184:AE184" si="42">SUM(D180:D183)</f>
        <v>34</v>
      </c>
      <c r="E184" s="66">
        <f t="shared" si="42"/>
        <v>0</v>
      </c>
      <c r="F184" s="66">
        <f t="shared" si="42"/>
        <v>0</v>
      </c>
      <c r="G184" s="61">
        <f t="shared" si="42"/>
        <v>34</v>
      </c>
      <c r="H184" s="66">
        <f t="shared" si="42"/>
        <v>2</v>
      </c>
      <c r="I184" s="66">
        <f t="shared" si="42"/>
        <v>0</v>
      </c>
      <c r="J184" s="66">
        <f t="shared" si="42"/>
        <v>0</v>
      </c>
      <c r="K184" s="61">
        <f t="shared" si="42"/>
        <v>2</v>
      </c>
      <c r="L184" s="66">
        <f t="shared" si="42"/>
        <v>18</v>
      </c>
      <c r="M184" s="66">
        <f t="shared" si="42"/>
        <v>0</v>
      </c>
      <c r="N184" s="66">
        <f t="shared" si="42"/>
        <v>0</v>
      </c>
      <c r="O184" s="61">
        <f t="shared" si="42"/>
        <v>18</v>
      </c>
      <c r="P184" s="66">
        <f t="shared" si="42"/>
        <v>0</v>
      </c>
      <c r="Q184" s="66">
        <f t="shared" si="42"/>
        <v>0</v>
      </c>
      <c r="R184" s="66">
        <f t="shared" si="42"/>
        <v>0</v>
      </c>
      <c r="S184" s="61">
        <f t="shared" si="42"/>
        <v>0</v>
      </c>
      <c r="T184" s="66">
        <f t="shared" si="42"/>
        <v>0</v>
      </c>
      <c r="U184" s="66">
        <f t="shared" si="42"/>
        <v>0</v>
      </c>
      <c r="V184" s="66">
        <f t="shared" si="42"/>
        <v>0</v>
      </c>
      <c r="W184" s="61">
        <f t="shared" si="42"/>
        <v>0</v>
      </c>
      <c r="X184" s="66">
        <f t="shared" si="42"/>
        <v>5</v>
      </c>
      <c r="Y184" s="66">
        <f t="shared" si="42"/>
        <v>0</v>
      </c>
      <c r="Z184" s="66">
        <f t="shared" si="42"/>
        <v>0</v>
      </c>
      <c r="AA184" s="61">
        <f t="shared" si="42"/>
        <v>5</v>
      </c>
      <c r="AB184" s="66">
        <f t="shared" si="42"/>
        <v>6</v>
      </c>
      <c r="AC184" s="66">
        <f t="shared" si="42"/>
        <v>0</v>
      </c>
      <c r="AD184" s="66">
        <f t="shared" si="42"/>
        <v>0</v>
      </c>
      <c r="AE184" s="61">
        <f t="shared" si="42"/>
        <v>6</v>
      </c>
      <c r="AF184" s="68">
        <f t="shared" si="30"/>
        <v>65</v>
      </c>
    </row>
    <row r="185" spans="1:32" hidden="1" x14ac:dyDescent="0.35">
      <c r="A185" s="59" t="s">
        <v>305</v>
      </c>
      <c r="B185" s="54" t="s">
        <v>233</v>
      </c>
      <c r="C185" s="60" t="s">
        <v>225</v>
      </c>
      <c r="D185" s="60"/>
      <c r="E185" s="60"/>
      <c r="F185" s="60"/>
      <c r="G185" s="61">
        <f>SUM(D185:F185)</f>
        <v>0</v>
      </c>
      <c r="H185" s="60"/>
      <c r="I185" s="60"/>
      <c r="J185" s="60"/>
      <c r="K185" s="61">
        <f>SUM(H185:J185)</f>
        <v>0</v>
      </c>
      <c r="L185" s="60"/>
      <c r="M185" s="60"/>
      <c r="N185" s="60"/>
      <c r="O185" s="61">
        <f>SUM(L185:N185)</f>
        <v>0</v>
      </c>
      <c r="P185" s="60"/>
      <c r="Q185" s="60"/>
      <c r="R185" s="60"/>
      <c r="S185" s="61">
        <f>SUM(P185:R185)</f>
        <v>0</v>
      </c>
      <c r="T185" s="60"/>
      <c r="U185" s="60"/>
      <c r="V185" s="60"/>
      <c r="W185" s="61">
        <f>SUM(T185:V185)</f>
        <v>0</v>
      </c>
      <c r="X185" s="60"/>
      <c r="Y185" s="60"/>
      <c r="Z185" s="60"/>
      <c r="AA185" s="61">
        <f>SUM(X185:Z185)</f>
        <v>0</v>
      </c>
      <c r="AB185" s="60"/>
      <c r="AC185" s="60"/>
      <c r="AD185" s="60"/>
      <c r="AE185" s="61">
        <f>SUM(AB185:AD185)</f>
        <v>0</v>
      </c>
      <c r="AF185" s="62">
        <f t="shared" si="30"/>
        <v>0</v>
      </c>
    </row>
    <row r="186" spans="1:32" hidden="1" x14ac:dyDescent="0.35">
      <c r="A186" s="111" t="s">
        <v>234</v>
      </c>
      <c r="C186" s="63" t="s">
        <v>227</v>
      </c>
      <c r="D186" s="63"/>
      <c r="E186" s="63"/>
      <c r="F186" s="63"/>
      <c r="G186" s="61">
        <f>SUM(D186:F186)</f>
        <v>0</v>
      </c>
      <c r="H186" s="63"/>
      <c r="I186" s="63"/>
      <c r="J186" s="63"/>
      <c r="K186" s="61">
        <f>SUM(H186:J186)</f>
        <v>0</v>
      </c>
      <c r="L186" s="63"/>
      <c r="M186" s="63"/>
      <c r="N186" s="63"/>
      <c r="O186" s="61">
        <f>SUM(L186:N186)</f>
        <v>0</v>
      </c>
      <c r="P186" s="63"/>
      <c r="Q186" s="63"/>
      <c r="R186" s="63"/>
      <c r="S186" s="61">
        <f>SUM(P186:R186)</f>
        <v>0</v>
      </c>
      <c r="T186" s="63"/>
      <c r="U186" s="63"/>
      <c r="V186" s="63"/>
      <c r="W186" s="61">
        <f>SUM(T186:V186)</f>
        <v>0</v>
      </c>
      <c r="X186" s="63"/>
      <c r="Y186" s="63"/>
      <c r="Z186" s="63"/>
      <c r="AA186" s="61">
        <f>SUM(X186:Z186)</f>
        <v>0</v>
      </c>
      <c r="AB186" s="63"/>
      <c r="AC186" s="63"/>
      <c r="AD186" s="63"/>
      <c r="AE186" s="61">
        <f>SUM(AB186:AD186)</f>
        <v>0</v>
      </c>
      <c r="AF186" s="64">
        <f t="shared" si="30"/>
        <v>0</v>
      </c>
    </row>
    <row r="187" spans="1:32" hidden="1" x14ac:dyDescent="0.35">
      <c r="A187" s="111"/>
      <c r="C187" s="60" t="s">
        <v>228</v>
      </c>
      <c r="D187" s="60"/>
      <c r="E187" s="60"/>
      <c r="F187" s="60"/>
      <c r="G187" s="61">
        <f>SUM(D187:F187)</f>
        <v>0</v>
      </c>
      <c r="H187" s="60"/>
      <c r="I187" s="60"/>
      <c r="J187" s="60"/>
      <c r="K187" s="61">
        <f>SUM(H187:J187)</f>
        <v>0</v>
      </c>
      <c r="L187" s="60"/>
      <c r="M187" s="60"/>
      <c r="N187" s="60"/>
      <c r="O187" s="61">
        <f>SUM(L187:N187)</f>
        <v>0</v>
      </c>
      <c r="P187" s="60"/>
      <c r="Q187" s="60"/>
      <c r="R187" s="60"/>
      <c r="S187" s="61">
        <f>SUM(P187:R187)</f>
        <v>0</v>
      </c>
      <c r="T187" s="60"/>
      <c r="U187" s="60"/>
      <c r="V187" s="60"/>
      <c r="W187" s="61">
        <f>SUM(T187:V187)</f>
        <v>0</v>
      </c>
      <c r="X187" s="60"/>
      <c r="Y187" s="60"/>
      <c r="Z187" s="60"/>
      <c r="AA187" s="61">
        <f>SUM(X187:Z187)</f>
        <v>0</v>
      </c>
      <c r="AB187" s="60"/>
      <c r="AC187" s="60"/>
      <c r="AD187" s="60"/>
      <c r="AE187" s="61">
        <f>SUM(AB187:AD187)</f>
        <v>0</v>
      </c>
      <c r="AF187" s="65">
        <f t="shared" si="30"/>
        <v>0</v>
      </c>
    </row>
    <row r="188" spans="1:32" hidden="1" x14ac:dyDescent="0.35">
      <c r="A188" s="111"/>
      <c r="C188" s="63" t="s">
        <v>235</v>
      </c>
      <c r="D188" s="63"/>
      <c r="E188" s="63"/>
      <c r="F188" s="63"/>
      <c r="G188" s="61">
        <f>SUM(D188:F188)</f>
        <v>0</v>
      </c>
      <c r="H188" s="63"/>
      <c r="I188" s="63"/>
      <c r="J188" s="63"/>
      <c r="K188" s="61">
        <f>SUM(H188:J188)</f>
        <v>0</v>
      </c>
      <c r="L188" s="63"/>
      <c r="M188" s="63"/>
      <c r="N188" s="63"/>
      <c r="O188" s="61">
        <f>SUM(L188:N188)</f>
        <v>0</v>
      </c>
      <c r="P188" s="63"/>
      <c r="Q188" s="63"/>
      <c r="R188" s="63"/>
      <c r="S188" s="61">
        <f>SUM(P188:R188)</f>
        <v>0</v>
      </c>
      <c r="T188" s="63"/>
      <c r="U188" s="63"/>
      <c r="V188" s="63"/>
      <c r="W188" s="61">
        <f>SUM(T188:V188)</f>
        <v>0</v>
      </c>
      <c r="X188" s="63"/>
      <c r="Y188" s="63"/>
      <c r="Z188" s="63"/>
      <c r="AA188" s="61">
        <f>SUM(X188:Z188)</f>
        <v>0</v>
      </c>
      <c r="AB188" s="63"/>
      <c r="AC188" s="63"/>
      <c r="AD188" s="63"/>
      <c r="AE188" s="61">
        <f>SUM(AB188:AD188)</f>
        <v>0</v>
      </c>
      <c r="AF188" s="63">
        <f t="shared" si="30"/>
        <v>0</v>
      </c>
    </row>
    <row r="189" spans="1:32" x14ac:dyDescent="0.35">
      <c r="A189" s="66" t="s">
        <v>305</v>
      </c>
      <c r="B189" s="67" t="s">
        <v>233</v>
      </c>
      <c r="C189" s="66"/>
      <c r="D189" s="66">
        <f t="shared" ref="D189:AE189" si="43">SUM(D185:D188)</f>
        <v>0</v>
      </c>
      <c r="E189" s="66">
        <f t="shared" si="43"/>
        <v>0</v>
      </c>
      <c r="F189" s="66">
        <f t="shared" si="43"/>
        <v>0</v>
      </c>
      <c r="G189" s="61">
        <f t="shared" si="43"/>
        <v>0</v>
      </c>
      <c r="H189" s="66">
        <f t="shared" si="43"/>
        <v>0</v>
      </c>
      <c r="I189" s="66">
        <f t="shared" si="43"/>
        <v>0</v>
      </c>
      <c r="J189" s="66">
        <f t="shared" si="43"/>
        <v>0</v>
      </c>
      <c r="K189" s="61">
        <f t="shared" si="43"/>
        <v>0</v>
      </c>
      <c r="L189" s="66">
        <f t="shared" si="43"/>
        <v>0</v>
      </c>
      <c r="M189" s="66">
        <f t="shared" si="43"/>
        <v>0</v>
      </c>
      <c r="N189" s="66">
        <f t="shared" si="43"/>
        <v>0</v>
      </c>
      <c r="O189" s="61">
        <f t="shared" si="43"/>
        <v>0</v>
      </c>
      <c r="P189" s="66">
        <f t="shared" si="43"/>
        <v>0</v>
      </c>
      <c r="Q189" s="66">
        <f t="shared" si="43"/>
        <v>0</v>
      </c>
      <c r="R189" s="66">
        <f t="shared" si="43"/>
        <v>0</v>
      </c>
      <c r="S189" s="61">
        <f t="shared" si="43"/>
        <v>0</v>
      </c>
      <c r="T189" s="66">
        <f t="shared" si="43"/>
        <v>0</v>
      </c>
      <c r="U189" s="66">
        <f t="shared" si="43"/>
        <v>0</v>
      </c>
      <c r="V189" s="66">
        <f t="shared" si="43"/>
        <v>0</v>
      </c>
      <c r="W189" s="61">
        <f t="shared" si="43"/>
        <v>0</v>
      </c>
      <c r="X189" s="66">
        <f t="shared" si="43"/>
        <v>0</v>
      </c>
      <c r="Y189" s="66">
        <f t="shared" si="43"/>
        <v>0</v>
      </c>
      <c r="Z189" s="66">
        <f t="shared" si="43"/>
        <v>0</v>
      </c>
      <c r="AA189" s="61">
        <f t="shared" si="43"/>
        <v>0</v>
      </c>
      <c r="AB189" s="66">
        <f t="shared" si="43"/>
        <v>0</v>
      </c>
      <c r="AC189" s="66">
        <f t="shared" si="43"/>
        <v>0</v>
      </c>
      <c r="AD189" s="66">
        <f t="shared" si="43"/>
        <v>0</v>
      </c>
      <c r="AE189" s="61">
        <f t="shared" si="43"/>
        <v>0</v>
      </c>
      <c r="AF189" s="68">
        <f t="shared" si="30"/>
        <v>0</v>
      </c>
    </row>
    <row r="190" spans="1:32" hidden="1" x14ac:dyDescent="0.35">
      <c r="A190" s="59" t="s">
        <v>306</v>
      </c>
      <c r="B190" s="54" t="s">
        <v>307</v>
      </c>
      <c r="C190" s="60" t="s">
        <v>225</v>
      </c>
      <c r="D190" s="60">
        <v>9</v>
      </c>
      <c r="E190" s="60"/>
      <c r="F190" s="60"/>
      <c r="G190" s="61">
        <f>SUM(D190:F190)</f>
        <v>9</v>
      </c>
      <c r="H190" s="60"/>
      <c r="I190" s="60"/>
      <c r="J190" s="60"/>
      <c r="K190" s="61">
        <f>SUM(H190:J190)</f>
        <v>0</v>
      </c>
      <c r="L190" s="60">
        <v>2</v>
      </c>
      <c r="M190" s="60"/>
      <c r="N190" s="60"/>
      <c r="O190" s="61">
        <f>SUM(L190:N190)</f>
        <v>2</v>
      </c>
      <c r="P190" s="60"/>
      <c r="Q190" s="60"/>
      <c r="R190" s="60"/>
      <c r="S190" s="61">
        <f>SUM(P190:R190)</f>
        <v>0</v>
      </c>
      <c r="T190" s="60"/>
      <c r="U190" s="60"/>
      <c r="V190" s="60"/>
      <c r="W190" s="61">
        <f>SUM(T190:V190)</f>
        <v>0</v>
      </c>
      <c r="X190" s="60"/>
      <c r="Y190" s="60"/>
      <c r="Z190" s="60"/>
      <c r="AA190" s="61">
        <f>SUM(X190:Z190)</f>
        <v>0</v>
      </c>
      <c r="AB190" s="60"/>
      <c r="AC190" s="60"/>
      <c r="AD190" s="60"/>
      <c r="AE190" s="61">
        <f>SUM(AB190:AD190)</f>
        <v>0</v>
      </c>
      <c r="AF190" s="62">
        <f t="shared" si="30"/>
        <v>11</v>
      </c>
    </row>
    <row r="191" spans="1:32" hidden="1" x14ac:dyDescent="0.35">
      <c r="A191" s="111" t="s">
        <v>245</v>
      </c>
      <c r="C191" s="63" t="s">
        <v>227</v>
      </c>
      <c r="D191" s="63">
        <v>5</v>
      </c>
      <c r="E191" s="63"/>
      <c r="F191" s="63"/>
      <c r="G191" s="61">
        <f>SUM(D191:F191)</f>
        <v>5</v>
      </c>
      <c r="H191" s="63"/>
      <c r="I191" s="63"/>
      <c r="J191" s="63"/>
      <c r="K191" s="61">
        <f>SUM(H191:J191)</f>
        <v>0</v>
      </c>
      <c r="L191" s="63">
        <v>2</v>
      </c>
      <c r="M191" s="63"/>
      <c r="N191" s="63"/>
      <c r="O191" s="61">
        <f>SUM(L191:N191)</f>
        <v>2</v>
      </c>
      <c r="P191" s="63"/>
      <c r="Q191" s="63"/>
      <c r="R191" s="63"/>
      <c r="S191" s="61">
        <f>SUM(P191:R191)</f>
        <v>0</v>
      </c>
      <c r="T191" s="63"/>
      <c r="U191" s="63"/>
      <c r="V191" s="63"/>
      <c r="W191" s="61">
        <f>SUM(T191:V191)</f>
        <v>0</v>
      </c>
      <c r="X191" s="63"/>
      <c r="Y191" s="63"/>
      <c r="Z191" s="63"/>
      <c r="AA191" s="61">
        <f>SUM(X191:Z191)</f>
        <v>0</v>
      </c>
      <c r="AB191" s="63"/>
      <c r="AC191" s="63"/>
      <c r="AD191" s="63"/>
      <c r="AE191" s="61">
        <f>SUM(AB191:AD191)</f>
        <v>0</v>
      </c>
      <c r="AF191" s="64">
        <f t="shared" si="30"/>
        <v>7</v>
      </c>
    </row>
    <row r="192" spans="1:32" hidden="1" x14ac:dyDescent="0.35">
      <c r="A192" s="111"/>
      <c r="C192" s="60" t="s">
        <v>228</v>
      </c>
      <c r="D192" s="60">
        <v>7</v>
      </c>
      <c r="E192" s="60"/>
      <c r="F192" s="60"/>
      <c r="G192" s="61">
        <f>SUM(D192:F192)</f>
        <v>7</v>
      </c>
      <c r="H192" s="60"/>
      <c r="I192" s="60"/>
      <c r="J192" s="60"/>
      <c r="K192" s="61">
        <f>SUM(H192:J192)</f>
        <v>0</v>
      </c>
      <c r="L192" s="60">
        <v>2</v>
      </c>
      <c r="M192" s="60"/>
      <c r="N192" s="60"/>
      <c r="O192" s="61">
        <f>SUM(L192:N192)</f>
        <v>2</v>
      </c>
      <c r="P192" s="60"/>
      <c r="Q192" s="60"/>
      <c r="R192" s="60"/>
      <c r="S192" s="61">
        <f>SUM(P192:R192)</f>
        <v>0</v>
      </c>
      <c r="T192" s="60"/>
      <c r="U192" s="60"/>
      <c r="V192" s="60"/>
      <c r="W192" s="61">
        <f>SUM(T192:V192)</f>
        <v>0</v>
      </c>
      <c r="X192" s="60"/>
      <c r="Y192" s="60"/>
      <c r="Z192" s="60"/>
      <c r="AA192" s="61">
        <f>SUM(X192:Z192)</f>
        <v>0</v>
      </c>
      <c r="AB192" s="60"/>
      <c r="AC192" s="60"/>
      <c r="AD192" s="60"/>
      <c r="AE192" s="61">
        <f>SUM(AB192:AD192)</f>
        <v>0</v>
      </c>
      <c r="AF192" s="65">
        <f t="shared" si="30"/>
        <v>9</v>
      </c>
    </row>
    <row r="193" spans="1:32" hidden="1" x14ac:dyDescent="0.35">
      <c r="A193" s="111"/>
      <c r="C193" s="63" t="s">
        <v>235</v>
      </c>
      <c r="D193" s="63">
        <v>5</v>
      </c>
      <c r="E193" s="63"/>
      <c r="F193" s="63"/>
      <c r="G193" s="61">
        <f>SUM(D193:F193)</f>
        <v>5</v>
      </c>
      <c r="H193" s="63"/>
      <c r="I193" s="63"/>
      <c r="J193" s="63"/>
      <c r="K193" s="61">
        <f>SUM(H193:J193)</f>
        <v>0</v>
      </c>
      <c r="L193" s="63"/>
      <c r="M193" s="63"/>
      <c r="N193" s="63"/>
      <c r="O193" s="61">
        <f>SUM(L193:N193)</f>
        <v>0</v>
      </c>
      <c r="P193" s="63"/>
      <c r="Q193" s="63"/>
      <c r="R193" s="63"/>
      <c r="S193" s="61">
        <f>SUM(P193:R193)</f>
        <v>0</v>
      </c>
      <c r="T193" s="63"/>
      <c r="U193" s="63"/>
      <c r="V193" s="63"/>
      <c r="W193" s="61">
        <f>SUM(T193:V193)</f>
        <v>0</v>
      </c>
      <c r="X193" s="63"/>
      <c r="Y193" s="63"/>
      <c r="Z193" s="63"/>
      <c r="AA193" s="61">
        <f>SUM(X193:Z193)</f>
        <v>0</v>
      </c>
      <c r="AB193" s="63"/>
      <c r="AC193" s="63"/>
      <c r="AD193" s="63"/>
      <c r="AE193" s="61">
        <f>SUM(AB193:AD193)</f>
        <v>0</v>
      </c>
      <c r="AF193" s="63">
        <f t="shared" si="30"/>
        <v>5</v>
      </c>
    </row>
    <row r="194" spans="1:32" hidden="1" x14ac:dyDescent="0.35">
      <c r="A194" s="77" t="s">
        <v>245</v>
      </c>
      <c r="B194" s="67" t="s">
        <v>307</v>
      </c>
      <c r="C194" s="66"/>
      <c r="D194" s="66">
        <f t="shared" ref="D194:AE194" si="44">SUM(D190:D193)</f>
        <v>26</v>
      </c>
      <c r="E194" s="66">
        <f t="shared" si="44"/>
        <v>0</v>
      </c>
      <c r="F194" s="66">
        <f t="shared" si="44"/>
        <v>0</v>
      </c>
      <c r="G194" s="61">
        <f t="shared" si="44"/>
        <v>26</v>
      </c>
      <c r="H194" s="66">
        <f t="shared" si="44"/>
        <v>0</v>
      </c>
      <c r="I194" s="66">
        <f t="shared" si="44"/>
        <v>0</v>
      </c>
      <c r="J194" s="66">
        <f t="shared" si="44"/>
        <v>0</v>
      </c>
      <c r="K194" s="61">
        <f t="shared" si="44"/>
        <v>0</v>
      </c>
      <c r="L194" s="66">
        <f t="shared" si="44"/>
        <v>6</v>
      </c>
      <c r="M194" s="66">
        <f t="shared" si="44"/>
        <v>0</v>
      </c>
      <c r="N194" s="66">
        <f t="shared" si="44"/>
        <v>0</v>
      </c>
      <c r="O194" s="61">
        <f t="shared" si="44"/>
        <v>6</v>
      </c>
      <c r="P194" s="66">
        <f t="shared" si="44"/>
        <v>0</v>
      </c>
      <c r="Q194" s="66">
        <f t="shared" si="44"/>
        <v>0</v>
      </c>
      <c r="R194" s="66">
        <f t="shared" si="44"/>
        <v>0</v>
      </c>
      <c r="S194" s="61">
        <f t="shared" si="44"/>
        <v>0</v>
      </c>
      <c r="T194" s="66">
        <f t="shared" si="44"/>
        <v>0</v>
      </c>
      <c r="U194" s="66">
        <f t="shared" si="44"/>
        <v>0</v>
      </c>
      <c r="V194" s="66">
        <f t="shared" si="44"/>
        <v>0</v>
      </c>
      <c r="W194" s="61">
        <f t="shared" si="44"/>
        <v>0</v>
      </c>
      <c r="X194" s="66">
        <f t="shared" si="44"/>
        <v>0</v>
      </c>
      <c r="Y194" s="66">
        <f t="shared" si="44"/>
        <v>0</v>
      </c>
      <c r="Z194" s="66">
        <f t="shared" si="44"/>
        <v>0</v>
      </c>
      <c r="AA194" s="61">
        <f t="shared" si="44"/>
        <v>0</v>
      </c>
      <c r="AB194" s="66">
        <f t="shared" si="44"/>
        <v>0</v>
      </c>
      <c r="AC194" s="66">
        <f t="shared" si="44"/>
        <v>0</v>
      </c>
      <c r="AD194" s="66">
        <f t="shared" si="44"/>
        <v>0</v>
      </c>
      <c r="AE194" s="61">
        <f t="shared" si="44"/>
        <v>0</v>
      </c>
      <c r="AF194" s="68">
        <f t="shared" si="30"/>
        <v>32</v>
      </c>
    </row>
    <row r="195" spans="1:32" ht="15" hidden="1" customHeight="1" x14ac:dyDescent="0.35">
      <c r="A195" s="111" t="s">
        <v>267</v>
      </c>
      <c r="C195" s="60" t="s">
        <v>225</v>
      </c>
      <c r="D195" s="60"/>
      <c r="E195" s="60"/>
      <c r="F195" s="60"/>
      <c r="G195" s="61">
        <f>SUM(D195:F195)</f>
        <v>0</v>
      </c>
      <c r="H195" s="60"/>
      <c r="I195" s="60"/>
      <c r="J195" s="60"/>
      <c r="K195" s="61">
        <f>SUM(H195:J195)</f>
        <v>0</v>
      </c>
      <c r="L195" s="60"/>
      <c r="M195" s="60"/>
      <c r="N195" s="60"/>
      <c r="O195" s="61">
        <f>SUM(L195:N195)</f>
        <v>0</v>
      </c>
      <c r="P195" s="60"/>
      <c r="Q195" s="60"/>
      <c r="R195" s="60"/>
      <c r="S195" s="61">
        <f>SUM(P195:R195)</f>
        <v>0</v>
      </c>
      <c r="T195" s="60"/>
      <c r="U195" s="60"/>
      <c r="V195" s="60"/>
      <c r="W195" s="61">
        <f>SUM(T195:V195)</f>
        <v>0</v>
      </c>
      <c r="X195" s="60"/>
      <c r="Y195" s="60"/>
      <c r="Z195" s="60"/>
      <c r="AA195" s="61">
        <f>SUM(X195:Z195)</f>
        <v>0</v>
      </c>
      <c r="AB195" s="60"/>
      <c r="AC195" s="60"/>
      <c r="AD195" s="60"/>
      <c r="AE195" s="61">
        <f>SUM(AB195:AD195)</f>
        <v>0</v>
      </c>
      <c r="AF195" s="62">
        <f t="shared" si="30"/>
        <v>0</v>
      </c>
    </row>
    <row r="196" spans="1:32" hidden="1" x14ac:dyDescent="0.35">
      <c r="A196" s="111"/>
      <c r="C196" s="63" t="s">
        <v>227</v>
      </c>
      <c r="D196" s="63"/>
      <c r="E196" s="63"/>
      <c r="F196" s="63"/>
      <c r="G196" s="61">
        <f>SUM(D196:F196)</f>
        <v>0</v>
      </c>
      <c r="H196" s="63"/>
      <c r="I196" s="63"/>
      <c r="J196" s="63"/>
      <c r="K196" s="61">
        <f>SUM(H196:J196)</f>
        <v>0</v>
      </c>
      <c r="L196" s="63"/>
      <c r="M196" s="63"/>
      <c r="N196" s="63"/>
      <c r="O196" s="61">
        <f>SUM(L196:N196)</f>
        <v>0</v>
      </c>
      <c r="P196" s="63"/>
      <c r="Q196" s="63"/>
      <c r="R196" s="63"/>
      <c r="S196" s="61">
        <f>SUM(P196:R196)</f>
        <v>0</v>
      </c>
      <c r="T196" s="63"/>
      <c r="U196" s="63"/>
      <c r="V196" s="63"/>
      <c r="W196" s="61">
        <f>SUM(T196:V196)</f>
        <v>0</v>
      </c>
      <c r="X196" s="63"/>
      <c r="Y196" s="63"/>
      <c r="Z196" s="63"/>
      <c r="AA196" s="61">
        <f>SUM(X196:Z196)</f>
        <v>0</v>
      </c>
      <c r="AB196" s="63"/>
      <c r="AC196" s="63"/>
      <c r="AD196" s="63"/>
      <c r="AE196" s="61">
        <f>SUM(AB196:AD196)</f>
        <v>0</v>
      </c>
      <c r="AF196" s="64">
        <f t="shared" ref="AF196:AF259" si="45">SUM(G196,K196,O196,S196,W196,AA196,AE196)</f>
        <v>0</v>
      </c>
    </row>
    <row r="197" spans="1:32" hidden="1" x14ac:dyDescent="0.35">
      <c r="A197" s="111"/>
      <c r="C197" s="60" t="s">
        <v>228</v>
      </c>
      <c r="D197" s="60"/>
      <c r="E197" s="60"/>
      <c r="F197" s="60"/>
      <c r="G197" s="61">
        <f>SUM(D197:F197)</f>
        <v>0</v>
      </c>
      <c r="H197" s="60"/>
      <c r="I197" s="60"/>
      <c r="J197" s="60"/>
      <c r="K197" s="61">
        <f>SUM(H197:J197)</f>
        <v>0</v>
      </c>
      <c r="L197" s="60"/>
      <c r="M197" s="60"/>
      <c r="N197" s="60"/>
      <c r="O197" s="61">
        <f>SUM(L197:N197)</f>
        <v>0</v>
      </c>
      <c r="P197" s="60"/>
      <c r="Q197" s="60"/>
      <c r="R197" s="60"/>
      <c r="S197" s="61">
        <f>SUM(P197:R197)</f>
        <v>0</v>
      </c>
      <c r="T197" s="60"/>
      <c r="U197" s="60"/>
      <c r="V197" s="60"/>
      <c r="W197" s="61">
        <f>SUM(T197:V197)</f>
        <v>0</v>
      </c>
      <c r="X197" s="60"/>
      <c r="Y197" s="60"/>
      <c r="Z197" s="60"/>
      <c r="AA197" s="61">
        <f>SUM(X197:Z197)</f>
        <v>0</v>
      </c>
      <c r="AB197" s="60"/>
      <c r="AC197" s="60"/>
      <c r="AD197" s="60"/>
      <c r="AE197" s="61">
        <f>SUM(AB197:AD197)</f>
        <v>0</v>
      </c>
      <c r="AF197" s="65">
        <f t="shared" si="45"/>
        <v>0</v>
      </c>
    </row>
    <row r="198" spans="1:32" hidden="1" x14ac:dyDescent="0.35">
      <c r="A198" s="111"/>
      <c r="C198" s="63" t="s">
        <v>235</v>
      </c>
      <c r="D198" s="63"/>
      <c r="E198" s="63"/>
      <c r="F198" s="63"/>
      <c r="G198" s="61">
        <f>SUM(D198:F198)</f>
        <v>0</v>
      </c>
      <c r="H198" s="63"/>
      <c r="I198" s="63"/>
      <c r="J198" s="63"/>
      <c r="K198" s="61">
        <f>SUM(H198:J198)</f>
        <v>0</v>
      </c>
      <c r="L198" s="63"/>
      <c r="M198" s="63"/>
      <c r="N198" s="63"/>
      <c r="O198" s="61">
        <f>SUM(L198:N198)</f>
        <v>0</v>
      </c>
      <c r="P198" s="63"/>
      <c r="Q198" s="63"/>
      <c r="R198" s="63"/>
      <c r="S198" s="61">
        <f>SUM(P198:R198)</f>
        <v>0</v>
      </c>
      <c r="T198" s="63"/>
      <c r="U198" s="63"/>
      <c r="V198" s="63"/>
      <c r="W198" s="61">
        <f>SUM(T198:V198)</f>
        <v>0</v>
      </c>
      <c r="X198" s="63"/>
      <c r="Y198" s="63"/>
      <c r="Z198" s="63"/>
      <c r="AA198" s="61">
        <f>SUM(X198:Z198)</f>
        <v>0</v>
      </c>
      <c r="AB198" s="63"/>
      <c r="AC198" s="63"/>
      <c r="AD198" s="63"/>
      <c r="AE198" s="61">
        <f>SUM(AB198:AD198)</f>
        <v>0</v>
      </c>
      <c r="AF198" s="63">
        <f t="shared" si="45"/>
        <v>0</v>
      </c>
    </row>
    <row r="199" spans="1:32" hidden="1" x14ac:dyDescent="0.35">
      <c r="A199" s="76" t="s">
        <v>267</v>
      </c>
      <c r="B199" s="67" t="s">
        <v>307</v>
      </c>
      <c r="C199" s="66"/>
      <c r="D199" s="66">
        <f t="shared" ref="D199:AE199" si="46">SUM(D195:D198)</f>
        <v>0</v>
      </c>
      <c r="E199" s="66">
        <f t="shared" si="46"/>
        <v>0</v>
      </c>
      <c r="F199" s="66">
        <f t="shared" si="46"/>
        <v>0</v>
      </c>
      <c r="G199" s="61">
        <f t="shared" si="46"/>
        <v>0</v>
      </c>
      <c r="H199" s="66">
        <f t="shared" si="46"/>
        <v>0</v>
      </c>
      <c r="I199" s="66">
        <f t="shared" si="46"/>
        <v>0</v>
      </c>
      <c r="J199" s="66">
        <f t="shared" si="46"/>
        <v>0</v>
      </c>
      <c r="K199" s="61">
        <f t="shared" si="46"/>
        <v>0</v>
      </c>
      <c r="L199" s="66">
        <f t="shared" si="46"/>
        <v>0</v>
      </c>
      <c r="M199" s="66">
        <f t="shared" si="46"/>
        <v>0</v>
      </c>
      <c r="N199" s="66">
        <f t="shared" si="46"/>
        <v>0</v>
      </c>
      <c r="O199" s="61">
        <f t="shared" si="46"/>
        <v>0</v>
      </c>
      <c r="P199" s="66">
        <f t="shared" si="46"/>
        <v>0</v>
      </c>
      <c r="Q199" s="66">
        <f t="shared" si="46"/>
        <v>0</v>
      </c>
      <c r="R199" s="66">
        <f t="shared" si="46"/>
        <v>0</v>
      </c>
      <c r="S199" s="61">
        <f t="shared" si="46"/>
        <v>0</v>
      </c>
      <c r="T199" s="66">
        <f t="shared" si="46"/>
        <v>0</v>
      </c>
      <c r="U199" s="66">
        <f t="shared" si="46"/>
        <v>0</v>
      </c>
      <c r="V199" s="66">
        <f t="shared" si="46"/>
        <v>0</v>
      </c>
      <c r="W199" s="61">
        <f t="shared" si="46"/>
        <v>0</v>
      </c>
      <c r="X199" s="66">
        <f t="shared" si="46"/>
        <v>0</v>
      </c>
      <c r="Y199" s="66">
        <f t="shared" si="46"/>
        <v>0</v>
      </c>
      <c r="Z199" s="66">
        <f t="shared" si="46"/>
        <v>0</v>
      </c>
      <c r="AA199" s="61">
        <f t="shared" si="46"/>
        <v>0</v>
      </c>
      <c r="AB199" s="66">
        <f t="shared" si="46"/>
        <v>0</v>
      </c>
      <c r="AC199" s="66">
        <f t="shared" si="46"/>
        <v>0</v>
      </c>
      <c r="AD199" s="66">
        <f t="shared" si="46"/>
        <v>0</v>
      </c>
      <c r="AE199" s="61">
        <f t="shared" si="46"/>
        <v>0</v>
      </c>
      <c r="AF199" s="68">
        <f t="shared" si="45"/>
        <v>0</v>
      </c>
    </row>
    <row r="200" spans="1:32" ht="15" hidden="1" customHeight="1" x14ac:dyDescent="0.35">
      <c r="A200" s="111" t="s">
        <v>308</v>
      </c>
      <c r="C200" s="60" t="s">
        <v>225</v>
      </c>
      <c r="D200" s="60"/>
      <c r="E200" s="60"/>
      <c r="F200" s="60"/>
      <c r="G200" s="61">
        <f>SUM(D200:F200)</f>
        <v>0</v>
      </c>
      <c r="H200" s="60"/>
      <c r="I200" s="60"/>
      <c r="J200" s="60"/>
      <c r="K200" s="61">
        <f>SUM(H200:J200)</f>
        <v>0</v>
      </c>
      <c r="L200" s="60"/>
      <c r="M200" s="60"/>
      <c r="N200" s="60"/>
      <c r="O200" s="61">
        <f>SUM(L200:N200)</f>
        <v>0</v>
      </c>
      <c r="P200" s="60"/>
      <c r="Q200" s="60"/>
      <c r="R200" s="60"/>
      <c r="S200" s="61">
        <f>SUM(P200:R200)</f>
        <v>0</v>
      </c>
      <c r="T200" s="60"/>
      <c r="U200" s="60"/>
      <c r="V200" s="60"/>
      <c r="W200" s="61">
        <f>SUM(T200:V200)</f>
        <v>0</v>
      </c>
      <c r="X200" s="60"/>
      <c r="Y200" s="60"/>
      <c r="Z200" s="60"/>
      <c r="AA200" s="61">
        <f>SUM(X200:Z200)</f>
        <v>0</v>
      </c>
      <c r="AB200" s="60"/>
      <c r="AC200" s="60"/>
      <c r="AD200" s="60"/>
      <c r="AE200" s="61">
        <f>SUM(AB200:AD200)</f>
        <v>0</v>
      </c>
      <c r="AF200" s="62">
        <f t="shared" si="45"/>
        <v>0</v>
      </c>
    </row>
    <row r="201" spans="1:32" hidden="1" x14ac:dyDescent="0.35">
      <c r="A201" s="111"/>
      <c r="C201" s="63" t="s">
        <v>227</v>
      </c>
      <c r="D201" s="63"/>
      <c r="E201" s="63"/>
      <c r="F201" s="63"/>
      <c r="G201" s="61">
        <f>SUM(D201:F201)</f>
        <v>0</v>
      </c>
      <c r="H201" s="63"/>
      <c r="I201" s="63"/>
      <c r="J201" s="63"/>
      <c r="K201" s="61">
        <f>SUM(H201:J201)</f>
        <v>0</v>
      </c>
      <c r="L201" s="63"/>
      <c r="M201" s="63"/>
      <c r="N201" s="63"/>
      <c r="O201" s="61">
        <f>SUM(L201:N201)</f>
        <v>0</v>
      </c>
      <c r="P201" s="63"/>
      <c r="Q201" s="63"/>
      <c r="R201" s="63"/>
      <c r="S201" s="61">
        <f>SUM(P201:R201)</f>
        <v>0</v>
      </c>
      <c r="T201" s="63"/>
      <c r="U201" s="63"/>
      <c r="V201" s="63"/>
      <c r="W201" s="61">
        <f>SUM(T201:V201)</f>
        <v>0</v>
      </c>
      <c r="X201" s="63"/>
      <c r="Y201" s="63"/>
      <c r="Z201" s="63"/>
      <c r="AA201" s="61">
        <f>SUM(X201:Z201)</f>
        <v>0</v>
      </c>
      <c r="AB201" s="63"/>
      <c r="AC201" s="63"/>
      <c r="AD201" s="63"/>
      <c r="AE201" s="61">
        <f>SUM(AB201:AD201)</f>
        <v>0</v>
      </c>
      <c r="AF201" s="64">
        <f t="shared" si="45"/>
        <v>0</v>
      </c>
    </row>
    <row r="202" spans="1:32" hidden="1" x14ac:dyDescent="0.35">
      <c r="A202" s="111"/>
      <c r="C202" s="60" t="s">
        <v>228</v>
      </c>
      <c r="D202" s="60"/>
      <c r="E202" s="60"/>
      <c r="F202" s="60"/>
      <c r="G202" s="61">
        <f>SUM(D202:F202)</f>
        <v>0</v>
      </c>
      <c r="H202" s="60"/>
      <c r="I202" s="60"/>
      <c r="J202" s="60"/>
      <c r="K202" s="61">
        <f>SUM(H202:J202)</f>
        <v>0</v>
      </c>
      <c r="L202" s="60"/>
      <c r="M202" s="60"/>
      <c r="N202" s="60"/>
      <c r="O202" s="61">
        <f>SUM(L202:N202)</f>
        <v>0</v>
      </c>
      <c r="P202" s="60"/>
      <c r="Q202" s="60"/>
      <c r="R202" s="60"/>
      <c r="S202" s="61">
        <f>SUM(P202:R202)</f>
        <v>0</v>
      </c>
      <c r="T202" s="60"/>
      <c r="U202" s="60"/>
      <c r="V202" s="60"/>
      <c r="W202" s="61">
        <f>SUM(T202:V202)</f>
        <v>0</v>
      </c>
      <c r="X202" s="60"/>
      <c r="Y202" s="60"/>
      <c r="Z202" s="60"/>
      <c r="AA202" s="61">
        <f>SUM(X202:Z202)</f>
        <v>0</v>
      </c>
      <c r="AB202" s="60"/>
      <c r="AC202" s="60"/>
      <c r="AD202" s="60"/>
      <c r="AE202" s="61">
        <f>SUM(AB202:AD202)</f>
        <v>0</v>
      </c>
      <c r="AF202" s="65">
        <f t="shared" si="45"/>
        <v>0</v>
      </c>
    </row>
    <row r="203" spans="1:32" hidden="1" x14ac:dyDescent="0.35">
      <c r="A203" s="111"/>
      <c r="C203" s="63" t="s">
        <v>235</v>
      </c>
      <c r="D203" s="63"/>
      <c r="E203" s="63"/>
      <c r="F203" s="63"/>
      <c r="G203" s="61">
        <f>SUM(D203:F203)</f>
        <v>0</v>
      </c>
      <c r="H203" s="63"/>
      <c r="I203" s="63"/>
      <c r="J203" s="63"/>
      <c r="K203" s="61">
        <f>SUM(H203:J203)</f>
        <v>0</v>
      </c>
      <c r="L203" s="63"/>
      <c r="M203" s="63"/>
      <c r="N203" s="63"/>
      <c r="O203" s="61">
        <f>SUM(L203:N203)</f>
        <v>0</v>
      </c>
      <c r="P203" s="63"/>
      <c r="Q203" s="63"/>
      <c r="R203" s="63"/>
      <c r="S203" s="61">
        <f>SUM(P203:R203)</f>
        <v>0</v>
      </c>
      <c r="T203" s="63"/>
      <c r="U203" s="63"/>
      <c r="V203" s="63"/>
      <c r="W203" s="61">
        <f>SUM(T203:V203)</f>
        <v>0</v>
      </c>
      <c r="X203" s="63"/>
      <c r="Y203" s="63"/>
      <c r="Z203" s="63"/>
      <c r="AA203" s="61">
        <f>SUM(X203:Z203)</f>
        <v>0</v>
      </c>
      <c r="AB203" s="63"/>
      <c r="AC203" s="63"/>
      <c r="AD203" s="63"/>
      <c r="AE203" s="61">
        <f>SUM(AB203:AD203)</f>
        <v>0</v>
      </c>
      <c r="AF203" s="63">
        <f t="shared" si="45"/>
        <v>0</v>
      </c>
    </row>
    <row r="204" spans="1:32" hidden="1" x14ac:dyDescent="0.35">
      <c r="A204" s="76" t="s">
        <v>309</v>
      </c>
      <c r="B204" s="67" t="s">
        <v>307</v>
      </c>
      <c r="C204" s="66"/>
      <c r="D204" s="66">
        <f t="shared" ref="D204:AE204" si="47">SUM(D200:D203)</f>
        <v>0</v>
      </c>
      <c r="E204" s="66">
        <f t="shared" si="47"/>
        <v>0</v>
      </c>
      <c r="F204" s="66">
        <f t="shared" si="47"/>
        <v>0</v>
      </c>
      <c r="G204" s="61">
        <f t="shared" si="47"/>
        <v>0</v>
      </c>
      <c r="H204" s="66">
        <f t="shared" si="47"/>
        <v>0</v>
      </c>
      <c r="I204" s="66">
        <f t="shared" si="47"/>
        <v>0</v>
      </c>
      <c r="J204" s="66">
        <f t="shared" si="47"/>
        <v>0</v>
      </c>
      <c r="K204" s="61">
        <f t="shared" si="47"/>
        <v>0</v>
      </c>
      <c r="L204" s="66">
        <f t="shared" si="47"/>
        <v>0</v>
      </c>
      <c r="M204" s="66">
        <f t="shared" si="47"/>
        <v>0</v>
      </c>
      <c r="N204" s="66">
        <f t="shared" si="47"/>
        <v>0</v>
      </c>
      <c r="O204" s="61">
        <f t="shared" si="47"/>
        <v>0</v>
      </c>
      <c r="P204" s="66">
        <f t="shared" si="47"/>
        <v>0</v>
      </c>
      <c r="Q204" s="66">
        <f t="shared" si="47"/>
        <v>0</v>
      </c>
      <c r="R204" s="66">
        <f t="shared" si="47"/>
        <v>0</v>
      </c>
      <c r="S204" s="61">
        <f t="shared" si="47"/>
        <v>0</v>
      </c>
      <c r="T204" s="66">
        <f t="shared" si="47"/>
        <v>0</v>
      </c>
      <c r="U204" s="66">
        <f t="shared" si="47"/>
        <v>0</v>
      </c>
      <c r="V204" s="66">
        <f t="shared" si="47"/>
        <v>0</v>
      </c>
      <c r="W204" s="61">
        <f t="shared" si="47"/>
        <v>0</v>
      </c>
      <c r="X204" s="66">
        <f t="shared" si="47"/>
        <v>0</v>
      </c>
      <c r="Y204" s="66">
        <f t="shared" si="47"/>
        <v>0</v>
      </c>
      <c r="Z204" s="66">
        <f t="shared" si="47"/>
        <v>0</v>
      </c>
      <c r="AA204" s="61">
        <f t="shared" si="47"/>
        <v>0</v>
      </c>
      <c r="AB204" s="66">
        <f t="shared" si="47"/>
        <v>0</v>
      </c>
      <c r="AC204" s="66">
        <f t="shared" si="47"/>
        <v>0</v>
      </c>
      <c r="AD204" s="66">
        <f t="shared" si="47"/>
        <v>0</v>
      </c>
      <c r="AE204" s="61">
        <f t="shared" si="47"/>
        <v>0</v>
      </c>
      <c r="AF204" s="68">
        <f t="shared" si="45"/>
        <v>0</v>
      </c>
    </row>
    <row r="205" spans="1:32" x14ac:dyDescent="0.35">
      <c r="A205" s="66" t="s">
        <v>306</v>
      </c>
      <c r="B205" s="67" t="s">
        <v>307</v>
      </c>
      <c r="C205" s="66"/>
      <c r="D205" s="66">
        <f t="shared" ref="D205:AE205" si="48">SUM(D204,D199,D194)</f>
        <v>26</v>
      </c>
      <c r="E205" s="66">
        <f t="shared" si="48"/>
        <v>0</v>
      </c>
      <c r="F205" s="66">
        <f t="shared" si="48"/>
        <v>0</v>
      </c>
      <c r="G205" s="61">
        <f t="shared" si="48"/>
        <v>26</v>
      </c>
      <c r="H205" s="66">
        <f t="shared" si="48"/>
        <v>0</v>
      </c>
      <c r="I205" s="66">
        <f t="shared" si="48"/>
        <v>0</v>
      </c>
      <c r="J205" s="66">
        <f t="shared" si="48"/>
        <v>0</v>
      </c>
      <c r="K205" s="61">
        <f t="shared" si="48"/>
        <v>0</v>
      </c>
      <c r="L205" s="66">
        <f t="shared" si="48"/>
        <v>6</v>
      </c>
      <c r="M205" s="66">
        <f t="shared" si="48"/>
        <v>0</v>
      </c>
      <c r="N205" s="66">
        <f t="shared" si="48"/>
        <v>0</v>
      </c>
      <c r="O205" s="61">
        <f t="shared" si="48"/>
        <v>6</v>
      </c>
      <c r="P205" s="66">
        <f t="shared" si="48"/>
        <v>0</v>
      </c>
      <c r="Q205" s="66">
        <f t="shared" si="48"/>
        <v>0</v>
      </c>
      <c r="R205" s="66">
        <f t="shared" si="48"/>
        <v>0</v>
      </c>
      <c r="S205" s="61">
        <f t="shared" si="48"/>
        <v>0</v>
      </c>
      <c r="T205" s="66">
        <f t="shared" si="48"/>
        <v>0</v>
      </c>
      <c r="U205" s="66">
        <f t="shared" si="48"/>
        <v>0</v>
      </c>
      <c r="V205" s="66">
        <f t="shared" si="48"/>
        <v>0</v>
      </c>
      <c r="W205" s="61">
        <f t="shared" si="48"/>
        <v>0</v>
      </c>
      <c r="X205" s="66">
        <f t="shared" si="48"/>
        <v>0</v>
      </c>
      <c r="Y205" s="66">
        <f t="shared" si="48"/>
        <v>0</v>
      </c>
      <c r="Z205" s="66">
        <f t="shared" si="48"/>
        <v>0</v>
      </c>
      <c r="AA205" s="61">
        <f t="shared" si="48"/>
        <v>0</v>
      </c>
      <c r="AB205" s="66">
        <f t="shared" si="48"/>
        <v>0</v>
      </c>
      <c r="AC205" s="66">
        <f t="shared" si="48"/>
        <v>0</v>
      </c>
      <c r="AD205" s="66">
        <f t="shared" si="48"/>
        <v>0</v>
      </c>
      <c r="AE205" s="61">
        <f t="shared" si="48"/>
        <v>0</v>
      </c>
      <c r="AF205" s="68">
        <f t="shared" si="45"/>
        <v>32</v>
      </c>
    </row>
    <row r="206" spans="1:32" hidden="1" x14ac:dyDescent="0.35">
      <c r="A206" s="59" t="s">
        <v>310</v>
      </c>
      <c r="B206" s="54">
        <v>30</v>
      </c>
      <c r="C206" s="60" t="s">
        <v>225</v>
      </c>
      <c r="D206" s="60"/>
      <c r="E206" s="60"/>
      <c r="F206" s="60"/>
      <c r="G206" s="61">
        <f>SUM(D206:F206)</f>
        <v>0</v>
      </c>
      <c r="H206" s="60"/>
      <c r="I206" s="60"/>
      <c r="J206" s="60"/>
      <c r="K206" s="61">
        <f>SUM(H206:J206)</f>
        <v>0</v>
      </c>
      <c r="L206" s="60"/>
      <c r="M206" s="60"/>
      <c r="N206" s="60"/>
      <c r="O206" s="61">
        <f>SUM(L206:N206)</f>
        <v>0</v>
      </c>
      <c r="P206" s="60"/>
      <c r="Q206" s="60"/>
      <c r="R206" s="60"/>
      <c r="S206" s="61">
        <f>SUM(P206:R206)</f>
        <v>0</v>
      </c>
      <c r="T206" s="60"/>
      <c r="U206" s="60"/>
      <c r="V206" s="60"/>
      <c r="W206" s="61">
        <f>SUM(T206:V206)</f>
        <v>0</v>
      </c>
      <c r="X206" s="60"/>
      <c r="Y206" s="60"/>
      <c r="Z206" s="60"/>
      <c r="AA206" s="61">
        <f>SUM(X206:Z206)</f>
        <v>0</v>
      </c>
      <c r="AB206" s="60"/>
      <c r="AC206" s="60"/>
      <c r="AD206" s="60"/>
      <c r="AE206" s="61">
        <f>SUM(AB206:AD206)</f>
        <v>0</v>
      </c>
      <c r="AF206" s="62">
        <f t="shared" si="45"/>
        <v>0</v>
      </c>
    </row>
    <row r="207" spans="1:32" hidden="1" x14ac:dyDescent="0.35">
      <c r="A207" s="111" t="s">
        <v>263</v>
      </c>
      <c r="C207" s="63" t="s">
        <v>227</v>
      </c>
      <c r="D207" s="63"/>
      <c r="E207" s="63"/>
      <c r="F207" s="63"/>
      <c r="G207" s="61">
        <f>SUM(D207:F207)</f>
        <v>0</v>
      </c>
      <c r="H207" s="63"/>
      <c r="I207" s="63"/>
      <c r="J207" s="63"/>
      <c r="K207" s="61">
        <f>SUM(H207:J207)</f>
        <v>0</v>
      </c>
      <c r="L207" s="63"/>
      <c r="M207" s="63"/>
      <c r="N207" s="63"/>
      <c r="O207" s="61">
        <f>SUM(L207:N207)</f>
        <v>0</v>
      </c>
      <c r="P207" s="63"/>
      <c r="Q207" s="63"/>
      <c r="R207" s="63"/>
      <c r="S207" s="61">
        <f>SUM(P207:R207)</f>
        <v>0</v>
      </c>
      <c r="T207" s="63"/>
      <c r="U207" s="63"/>
      <c r="V207" s="63"/>
      <c r="W207" s="61">
        <f>SUM(T207:V207)</f>
        <v>0</v>
      </c>
      <c r="X207" s="63"/>
      <c r="Y207" s="63"/>
      <c r="Z207" s="63"/>
      <c r="AA207" s="61">
        <f>SUM(X207:Z207)</f>
        <v>0</v>
      </c>
      <c r="AB207" s="63"/>
      <c r="AC207" s="63"/>
      <c r="AD207" s="63"/>
      <c r="AE207" s="61">
        <f>SUM(AB207:AD207)</f>
        <v>0</v>
      </c>
      <c r="AF207" s="64">
        <f t="shared" si="45"/>
        <v>0</v>
      </c>
    </row>
    <row r="208" spans="1:32" hidden="1" x14ac:dyDescent="0.35">
      <c r="A208" s="111"/>
      <c r="C208" s="60" t="s">
        <v>228</v>
      </c>
      <c r="D208" s="60"/>
      <c r="E208" s="60"/>
      <c r="F208" s="60"/>
      <c r="G208" s="61">
        <f>SUM(D208:F208)</f>
        <v>0</v>
      </c>
      <c r="H208" s="60"/>
      <c r="I208" s="60"/>
      <c r="J208" s="60"/>
      <c r="K208" s="61">
        <f>SUM(H208:J208)</f>
        <v>0</v>
      </c>
      <c r="L208" s="60"/>
      <c r="M208" s="60"/>
      <c r="N208" s="60"/>
      <c r="O208" s="61">
        <f>SUM(L208:N208)</f>
        <v>0</v>
      </c>
      <c r="P208" s="60"/>
      <c r="Q208" s="60"/>
      <c r="R208" s="60"/>
      <c r="S208" s="61">
        <f>SUM(P208:R208)</f>
        <v>0</v>
      </c>
      <c r="T208" s="60"/>
      <c r="U208" s="60"/>
      <c r="V208" s="60"/>
      <c r="W208" s="61">
        <f>SUM(T208:V208)</f>
        <v>0</v>
      </c>
      <c r="X208" s="60"/>
      <c r="Y208" s="60"/>
      <c r="Z208" s="60"/>
      <c r="AA208" s="61">
        <f>SUM(X208:Z208)</f>
        <v>0</v>
      </c>
      <c r="AB208" s="60"/>
      <c r="AC208" s="60"/>
      <c r="AD208" s="60"/>
      <c r="AE208" s="61">
        <f>SUM(AB208:AD208)</f>
        <v>0</v>
      </c>
      <c r="AF208" s="65">
        <f t="shared" si="45"/>
        <v>0</v>
      </c>
    </row>
    <row r="209" spans="1:32" hidden="1" x14ac:dyDescent="0.35">
      <c r="A209" s="111"/>
      <c r="C209" s="63" t="s">
        <v>235</v>
      </c>
      <c r="D209" s="63"/>
      <c r="E209" s="63"/>
      <c r="F209" s="63"/>
      <c r="G209" s="61">
        <f>SUM(D209:F209)</f>
        <v>0</v>
      </c>
      <c r="H209" s="63">
        <v>1</v>
      </c>
      <c r="I209" s="63"/>
      <c r="J209" s="63"/>
      <c r="K209" s="61">
        <f>SUM(H209:J209)</f>
        <v>1</v>
      </c>
      <c r="L209" s="63"/>
      <c r="M209" s="63"/>
      <c r="N209" s="63"/>
      <c r="O209" s="61">
        <f>SUM(L209:N209)</f>
        <v>0</v>
      </c>
      <c r="P209" s="63"/>
      <c r="Q209" s="63"/>
      <c r="R209" s="63"/>
      <c r="S209" s="61">
        <f>SUM(P209:R209)</f>
        <v>0</v>
      </c>
      <c r="T209" s="63"/>
      <c r="U209" s="63"/>
      <c r="V209" s="63"/>
      <c r="W209" s="61">
        <f>SUM(T209:V209)</f>
        <v>0</v>
      </c>
      <c r="X209" s="63">
        <v>1</v>
      </c>
      <c r="Y209" s="63"/>
      <c r="Z209" s="63"/>
      <c r="AA209" s="61">
        <f>SUM(X209:Z209)</f>
        <v>1</v>
      </c>
      <c r="AB209" s="63">
        <v>2</v>
      </c>
      <c r="AC209" s="63">
        <v>1</v>
      </c>
      <c r="AD209" s="63"/>
      <c r="AE209" s="61">
        <f>SUM(AB209:AD209)</f>
        <v>3</v>
      </c>
      <c r="AF209" s="63">
        <f t="shared" si="45"/>
        <v>5</v>
      </c>
    </row>
    <row r="210" spans="1:32" x14ac:dyDescent="0.35">
      <c r="A210" s="66" t="s">
        <v>310</v>
      </c>
      <c r="B210" s="67">
        <v>30</v>
      </c>
      <c r="C210" s="66"/>
      <c r="D210" s="66">
        <f t="shared" ref="D210:AE210" si="49">SUM(D206:D209)</f>
        <v>0</v>
      </c>
      <c r="E210" s="66">
        <f t="shared" si="49"/>
        <v>0</v>
      </c>
      <c r="F210" s="66">
        <f t="shared" si="49"/>
        <v>0</v>
      </c>
      <c r="G210" s="61">
        <f t="shared" si="49"/>
        <v>0</v>
      </c>
      <c r="H210" s="66">
        <f t="shared" si="49"/>
        <v>1</v>
      </c>
      <c r="I210" s="66">
        <f t="shared" si="49"/>
        <v>0</v>
      </c>
      <c r="J210" s="66">
        <f t="shared" si="49"/>
        <v>0</v>
      </c>
      <c r="K210" s="61">
        <f t="shared" si="49"/>
        <v>1</v>
      </c>
      <c r="L210" s="66">
        <f t="shared" si="49"/>
        <v>0</v>
      </c>
      <c r="M210" s="66">
        <f t="shared" si="49"/>
        <v>0</v>
      </c>
      <c r="N210" s="66">
        <f t="shared" si="49"/>
        <v>0</v>
      </c>
      <c r="O210" s="61">
        <f t="shared" si="49"/>
        <v>0</v>
      </c>
      <c r="P210" s="66">
        <f t="shared" si="49"/>
        <v>0</v>
      </c>
      <c r="Q210" s="66">
        <f t="shared" si="49"/>
        <v>0</v>
      </c>
      <c r="R210" s="66">
        <f t="shared" si="49"/>
        <v>0</v>
      </c>
      <c r="S210" s="61">
        <f t="shared" si="49"/>
        <v>0</v>
      </c>
      <c r="T210" s="66">
        <f t="shared" si="49"/>
        <v>0</v>
      </c>
      <c r="U210" s="66">
        <f t="shared" si="49"/>
        <v>0</v>
      </c>
      <c r="V210" s="66">
        <f t="shared" si="49"/>
        <v>0</v>
      </c>
      <c r="W210" s="61">
        <f t="shared" si="49"/>
        <v>0</v>
      </c>
      <c r="X210" s="66">
        <f t="shared" si="49"/>
        <v>1</v>
      </c>
      <c r="Y210" s="66">
        <f t="shared" si="49"/>
        <v>0</v>
      </c>
      <c r="Z210" s="66">
        <f t="shared" si="49"/>
        <v>0</v>
      </c>
      <c r="AA210" s="61">
        <f t="shared" si="49"/>
        <v>1</v>
      </c>
      <c r="AB210" s="66">
        <f t="shared" si="49"/>
        <v>2</v>
      </c>
      <c r="AC210" s="66">
        <f t="shared" si="49"/>
        <v>1</v>
      </c>
      <c r="AD210" s="66">
        <f t="shared" si="49"/>
        <v>0</v>
      </c>
      <c r="AE210" s="61">
        <f t="shared" si="49"/>
        <v>3</v>
      </c>
      <c r="AF210" s="68">
        <f t="shared" si="45"/>
        <v>5</v>
      </c>
    </row>
    <row r="211" spans="1:32" hidden="1" x14ac:dyDescent="0.35">
      <c r="A211" s="59" t="s">
        <v>311</v>
      </c>
      <c r="B211" s="54">
        <v>11</v>
      </c>
      <c r="C211" s="60" t="s">
        <v>225</v>
      </c>
      <c r="D211" s="60">
        <v>19</v>
      </c>
      <c r="E211" s="60"/>
      <c r="F211" s="60"/>
      <c r="G211" s="61">
        <f>SUM(D211:F211)</f>
        <v>19</v>
      </c>
      <c r="H211" s="60"/>
      <c r="I211" s="60"/>
      <c r="J211" s="60"/>
      <c r="K211" s="61">
        <f>SUM(H211:J211)</f>
        <v>0</v>
      </c>
      <c r="L211" s="60"/>
      <c r="M211" s="60"/>
      <c r="N211" s="60"/>
      <c r="O211" s="61">
        <f>SUM(L211:N211)</f>
        <v>0</v>
      </c>
      <c r="P211" s="60"/>
      <c r="Q211" s="60"/>
      <c r="R211" s="60"/>
      <c r="S211" s="61">
        <f>SUM(P211:R211)</f>
        <v>0</v>
      </c>
      <c r="T211" s="60"/>
      <c r="U211" s="60"/>
      <c r="V211" s="60"/>
      <c r="W211" s="61">
        <f>SUM(T211:V211)</f>
        <v>0</v>
      </c>
      <c r="X211" s="60"/>
      <c r="Y211" s="60"/>
      <c r="Z211" s="60"/>
      <c r="AA211" s="61">
        <f>SUM(X211:Z211)</f>
        <v>0</v>
      </c>
      <c r="AB211" s="60"/>
      <c r="AC211" s="60"/>
      <c r="AD211" s="60"/>
      <c r="AE211" s="61">
        <f>SUM(AB211:AD211)</f>
        <v>0</v>
      </c>
      <c r="AF211" s="62">
        <f t="shared" si="45"/>
        <v>19</v>
      </c>
    </row>
    <row r="212" spans="1:32" hidden="1" x14ac:dyDescent="0.35">
      <c r="A212" s="111" t="s">
        <v>300</v>
      </c>
      <c r="C212" s="63" t="s">
        <v>227</v>
      </c>
      <c r="D212" s="63">
        <v>12</v>
      </c>
      <c r="E212" s="63"/>
      <c r="F212" s="63"/>
      <c r="G212" s="61">
        <f>SUM(D212:F212)</f>
        <v>12</v>
      </c>
      <c r="H212" s="63">
        <v>1</v>
      </c>
      <c r="I212" s="63"/>
      <c r="J212" s="63"/>
      <c r="K212" s="61">
        <f>SUM(H212:J212)</f>
        <v>1</v>
      </c>
      <c r="L212" s="63">
        <v>7</v>
      </c>
      <c r="M212" s="63"/>
      <c r="N212" s="63"/>
      <c r="O212" s="61">
        <f>SUM(L212:N212)</f>
        <v>7</v>
      </c>
      <c r="P212" s="63"/>
      <c r="Q212" s="63"/>
      <c r="R212" s="63"/>
      <c r="S212" s="61">
        <f>SUM(P212:R212)</f>
        <v>0</v>
      </c>
      <c r="T212" s="63"/>
      <c r="U212" s="63"/>
      <c r="V212" s="63"/>
      <c r="W212" s="61">
        <f>SUM(T212:V212)</f>
        <v>0</v>
      </c>
      <c r="X212" s="63"/>
      <c r="Y212" s="63"/>
      <c r="Z212" s="63"/>
      <c r="AA212" s="61">
        <f>SUM(X212:Z212)</f>
        <v>0</v>
      </c>
      <c r="AB212" s="63"/>
      <c r="AC212" s="63"/>
      <c r="AD212" s="63"/>
      <c r="AE212" s="61">
        <f>SUM(AB212:AD212)</f>
        <v>0</v>
      </c>
      <c r="AF212" s="64">
        <f t="shared" si="45"/>
        <v>20</v>
      </c>
    </row>
    <row r="213" spans="1:32" hidden="1" x14ac:dyDescent="0.35">
      <c r="A213" s="111"/>
      <c r="C213" s="60" t="s">
        <v>228</v>
      </c>
      <c r="D213" s="60">
        <v>10</v>
      </c>
      <c r="E213" s="60"/>
      <c r="F213" s="60"/>
      <c r="G213" s="61">
        <f>SUM(D213:F213)</f>
        <v>10</v>
      </c>
      <c r="H213" s="60"/>
      <c r="I213" s="60"/>
      <c r="J213" s="60"/>
      <c r="K213" s="61">
        <f>SUM(H213:J213)</f>
        <v>0</v>
      </c>
      <c r="L213" s="60">
        <v>4</v>
      </c>
      <c r="M213" s="60"/>
      <c r="N213" s="60"/>
      <c r="O213" s="61">
        <f>SUM(L213:N213)</f>
        <v>4</v>
      </c>
      <c r="P213" s="60"/>
      <c r="Q213" s="60"/>
      <c r="R213" s="60"/>
      <c r="S213" s="61">
        <f>SUM(P213:R213)</f>
        <v>0</v>
      </c>
      <c r="T213" s="60"/>
      <c r="U213" s="60"/>
      <c r="V213" s="60"/>
      <c r="W213" s="61">
        <f>SUM(T213:V213)</f>
        <v>0</v>
      </c>
      <c r="X213" s="60"/>
      <c r="Y213" s="60"/>
      <c r="Z213" s="60"/>
      <c r="AA213" s="61">
        <f>SUM(X213:Z213)</f>
        <v>0</v>
      </c>
      <c r="AB213" s="60"/>
      <c r="AC213" s="60"/>
      <c r="AD213" s="60"/>
      <c r="AE213" s="61">
        <f>SUM(AB213:AD213)</f>
        <v>0</v>
      </c>
      <c r="AF213" s="65">
        <f t="shared" si="45"/>
        <v>14</v>
      </c>
    </row>
    <row r="214" spans="1:32" hidden="1" x14ac:dyDescent="0.35">
      <c r="A214" s="111"/>
      <c r="C214" s="63" t="s">
        <v>235</v>
      </c>
      <c r="D214" s="63">
        <v>9</v>
      </c>
      <c r="E214" s="63"/>
      <c r="F214" s="63"/>
      <c r="G214" s="61">
        <f>SUM(D214:F214)</f>
        <v>9</v>
      </c>
      <c r="H214" s="63"/>
      <c r="I214" s="63"/>
      <c r="J214" s="63"/>
      <c r="K214" s="61">
        <f>SUM(H214:J214)</f>
        <v>0</v>
      </c>
      <c r="L214" s="63">
        <v>4</v>
      </c>
      <c r="M214" s="63"/>
      <c r="N214" s="63"/>
      <c r="O214" s="61">
        <f>SUM(L214:N214)</f>
        <v>4</v>
      </c>
      <c r="P214" s="63"/>
      <c r="Q214" s="63"/>
      <c r="R214" s="63"/>
      <c r="S214" s="61">
        <f>SUM(P214:R214)</f>
        <v>0</v>
      </c>
      <c r="T214" s="63"/>
      <c r="U214" s="63"/>
      <c r="V214" s="63"/>
      <c r="W214" s="61">
        <f>SUM(T214:V214)</f>
        <v>0</v>
      </c>
      <c r="X214" s="63"/>
      <c r="Y214" s="63"/>
      <c r="Z214" s="63"/>
      <c r="AA214" s="61">
        <f>SUM(X214:Z214)</f>
        <v>0</v>
      </c>
      <c r="AB214" s="63"/>
      <c r="AC214" s="63"/>
      <c r="AD214" s="63"/>
      <c r="AE214" s="61">
        <f>SUM(AB214:AD214)</f>
        <v>0</v>
      </c>
      <c r="AF214" s="63">
        <f t="shared" si="45"/>
        <v>13</v>
      </c>
    </row>
    <row r="215" spans="1:32" x14ac:dyDescent="0.35">
      <c r="A215" s="66" t="s">
        <v>311</v>
      </c>
      <c r="B215" s="67">
        <v>11</v>
      </c>
      <c r="C215" s="66"/>
      <c r="D215" s="66">
        <f t="shared" ref="D215:AE215" si="50">SUM(D211:D214)</f>
        <v>50</v>
      </c>
      <c r="E215" s="66">
        <f t="shared" si="50"/>
        <v>0</v>
      </c>
      <c r="F215" s="66">
        <f t="shared" si="50"/>
        <v>0</v>
      </c>
      <c r="G215" s="61">
        <f t="shared" si="50"/>
        <v>50</v>
      </c>
      <c r="H215" s="66">
        <f t="shared" si="50"/>
        <v>1</v>
      </c>
      <c r="I215" s="66">
        <f t="shared" si="50"/>
        <v>0</v>
      </c>
      <c r="J215" s="66">
        <f t="shared" si="50"/>
        <v>0</v>
      </c>
      <c r="K215" s="61">
        <f t="shared" si="50"/>
        <v>1</v>
      </c>
      <c r="L215" s="66">
        <f t="shared" si="50"/>
        <v>15</v>
      </c>
      <c r="M215" s="66">
        <f t="shared" si="50"/>
        <v>0</v>
      </c>
      <c r="N215" s="66">
        <f t="shared" si="50"/>
        <v>0</v>
      </c>
      <c r="O215" s="61">
        <f t="shared" si="50"/>
        <v>15</v>
      </c>
      <c r="P215" s="66">
        <f t="shared" si="50"/>
        <v>0</v>
      </c>
      <c r="Q215" s="66">
        <f t="shared" si="50"/>
        <v>0</v>
      </c>
      <c r="R215" s="66">
        <f t="shared" si="50"/>
        <v>0</v>
      </c>
      <c r="S215" s="61">
        <f t="shared" si="50"/>
        <v>0</v>
      </c>
      <c r="T215" s="66">
        <f t="shared" si="50"/>
        <v>0</v>
      </c>
      <c r="U215" s="66">
        <f t="shared" si="50"/>
        <v>0</v>
      </c>
      <c r="V215" s="66">
        <f t="shared" si="50"/>
        <v>0</v>
      </c>
      <c r="W215" s="61">
        <f t="shared" si="50"/>
        <v>0</v>
      </c>
      <c r="X215" s="66">
        <f t="shared" si="50"/>
        <v>0</v>
      </c>
      <c r="Y215" s="66">
        <f t="shared" si="50"/>
        <v>0</v>
      </c>
      <c r="Z215" s="66">
        <f t="shared" si="50"/>
        <v>0</v>
      </c>
      <c r="AA215" s="61">
        <f t="shared" si="50"/>
        <v>0</v>
      </c>
      <c r="AB215" s="66">
        <f t="shared" si="50"/>
        <v>0</v>
      </c>
      <c r="AC215" s="66">
        <f t="shared" si="50"/>
        <v>0</v>
      </c>
      <c r="AD215" s="66">
        <f t="shared" si="50"/>
        <v>0</v>
      </c>
      <c r="AE215" s="61">
        <f t="shared" si="50"/>
        <v>0</v>
      </c>
      <c r="AF215" s="68">
        <f t="shared" si="45"/>
        <v>66</v>
      </c>
    </row>
    <row r="216" spans="1:32" hidden="1" x14ac:dyDescent="0.35">
      <c r="A216" s="59" t="s">
        <v>312</v>
      </c>
      <c r="B216" s="54">
        <v>4</v>
      </c>
      <c r="C216" s="60" t="s">
        <v>225</v>
      </c>
      <c r="D216" s="60"/>
      <c r="E216" s="60"/>
      <c r="F216" s="60"/>
      <c r="G216" s="61">
        <f>SUM(D216:F216)</f>
        <v>0</v>
      </c>
      <c r="H216" s="60"/>
      <c r="I216" s="60"/>
      <c r="J216" s="60"/>
      <c r="K216" s="61">
        <f>SUM(H216:J216)</f>
        <v>0</v>
      </c>
      <c r="L216" s="60"/>
      <c r="M216" s="60"/>
      <c r="N216" s="60"/>
      <c r="O216" s="61">
        <f>SUM(L216:N216)</f>
        <v>0</v>
      </c>
      <c r="P216" s="60"/>
      <c r="Q216" s="60"/>
      <c r="R216" s="60"/>
      <c r="S216" s="61">
        <f>SUM(P216:R216)</f>
        <v>0</v>
      </c>
      <c r="T216" s="60"/>
      <c r="U216" s="60"/>
      <c r="V216" s="60"/>
      <c r="W216" s="61">
        <f>SUM(T216:V216)</f>
        <v>0</v>
      </c>
      <c r="X216" s="60"/>
      <c r="Y216" s="60"/>
      <c r="Z216" s="60"/>
      <c r="AA216" s="61">
        <f>SUM(X216:Z216)</f>
        <v>0</v>
      </c>
      <c r="AB216" s="60"/>
      <c r="AC216" s="60"/>
      <c r="AD216" s="60"/>
      <c r="AE216" s="61">
        <f>SUM(AB216:AD216)</f>
        <v>0</v>
      </c>
      <c r="AF216" s="62">
        <f t="shared" si="45"/>
        <v>0</v>
      </c>
    </row>
    <row r="217" spans="1:32" hidden="1" x14ac:dyDescent="0.35">
      <c r="A217" s="111" t="s">
        <v>254</v>
      </c>
      <c r="C217" s="63" t="s">
        <v>227</v>
      </c>
      <c r="D217" s="63"/>
      <c r="E217" s="63"/>
      <c r="F217" s="63"/>
      <c r="G217" s="61">
        <f>SUM(D217:F217)</f>
        <v>0</v>
      </c>
      <c r="H217" s="63"/>
      <c r="I217" s="63"/>
      <c r="J217" s="63"/>
      <c r="K217" s="61">
        <f>SUM(H217:J217)</f>
        <v>0</v>
      </c>
      <c r="L217" s="63"/>
      <c r="M217" s="63"/>
      <c r="N217" s="63"/>
      <c r="O217" s="61">
        <f>SUM(L217:N217)</f>
        <v>0</v>
      </c>
      <c r="P217" s="63"/>
      <c r="Q217" s="63"/>
      <c r="R217" s="63"/>
      <c r="S217" s="61">
        <f>SUM(P217:R217)</f>
        <v>0</v>
      </c>
      <c r="T217" s="63"/>
      <c r="U217" s="63"/>
      <c r="V217" s="63"/>
      <c r="W217" s="61">
        <f>SUM(T217:V217)</f>
        <v>0</v>
      </c>
      <c r="X217" s="63"/>
      <c r="Y217" s="63"/>
      <c r="Z217" s="63"/>
      <c r="AA217" s="61">
        <f>SUM(X217:Z217)</f>
        <v>0</v>
      </c>
      <c r="AB217" s="63"/>
      <c r="AC217" s="63"/>
      <c r="AD217" s="63"/>
      <c r="AE217" s="61">
        <f>SUM(AB217:AD217)</f>
        <v>0</v>
      </c>
      <c r="AF217" s="64">
        <f t="shared" si="45"/>
        <v>0</v>
      </c>
    </row>
    <row r="218" spans="1:32" hidden="1" x14ac:dyDescent="0.35">
      <c r="A218" s="111"/>
      <c r="C218" s="60" t="s">
        <v>228</v>
      </c>
      <c r="D218" s="60"/>
      <c r="E218" s="60"/>
      <c r="F218" s="60"/>
      <c r="G218" s="61">
        <f>SUM(D218:F218)</f>
        <v>0</v>
      </c>
      <c r="H218" s="60"/>
      <c r="I218" s="60"/>
      <c r="J218" s="60"/>
      <c r="K218" s="61">
        <f>SUM(H218:J218)</f>
        <v>0</v>
      </c>
      <c r="L218" s="60"/>
      <c r="M218" s="60"/>
      <c r="N218" s="60"/>
      <c r="O218" s="61">
        <f>SUM(L218:N218)</f>
        <v>0</v>
      </c>
      <c r="P218" s="60"/>
      <c r="Q218" s="60"/>
      <c r="R218" s="60"/>
      <c r="S218" s="61">
        <f>SUM(P218:R218)</f>
        <v>0</v>
      </c>
      <c r="T218" s="60"/>
      <c r="U218" s="60"/>
      <c r="V218" s="60"/>
      <c r="W218" s="61">
        <f>SUM(T218:V218)</f>
        <v>0</v>
      </c>
      <c r="X218" s="60"/>
      <c r="Y218" s="60"/>
      <c r="Z218" s="60"/>
      <c r="AA218" s="61">
        <f>SUM(X218:Z218)</f>
        <v>0</v>
      </c>
      <c r="AB218" s="60"/>
      <c r="AC218" s="60"/>
      <c r="AD218" s="60"/>
      <c r="AE218" s="61">
        <f>SUM(AB218:AD218)</f>
        <v>0</v>
      </c>
      <c r="AF218" s="65">
        <f t="shared" si="45"/>
        <v>0</v>
      </c>
    </row>
    <row r="219" spans="1:32" hidden="1" x14ac:dyDescent="0.35">
      <c r="A219" s="111"/>
      <c r="C219" s="63" t="s">
        <v>235</v>
      </c>
      <c r="D219" s="63"/>
      <c r="E219" s="63"/>
      <c r="F219" s="63"/>
      <c r="G219" s="61">
        <f>SUM(D219:F219)</f>
        <v>0</v>
      </c>
      <c r="H219" s="63"/>
      <c r="I219" s="63"/>
      <c r="J219" s="63"/>
      <c r="K219" s="61">
        <f>SUM(H219:J219)</f>
        <v>0</v>
      </c>
      <c r="L219" s="63"/>
      <c r="M219" s="63"/>
      <c r="N219" s="63"/>
      <c r="O219" s="61">
        <f>SUM(L219:N219)</f>
        <v>0</v>
      </c>
      <c r="P219" s="63"/>
      <c r="Q219" s="63"/>
      <c r="R219" s="63"/>
      <c r="S219" s="61">
        <f>SUM(P219:R219)</f>
        <v>0</v>
      </c>
      <c r="T219" s="63"/>
      <c r="U219" s="63"/>
      <c r="V219" s="63"/>
      <c r="W219" s="61">
        <f>SUM(T219:V219)</f>
        <v>0</v>
      </c>
      <c r="X219" s="63"/>
      <c r="Y219" s="63"/>
      <c r="Z219" s="63"/>
      <c r="AA219" s="61">
        <f>SUM(X219:Z219)</f>
        <v>0</v>
      </c>
      <c r="AB219" s="63"/>
      <c r="AC219" s="63"/>
      <c r="AD219" s="63"/>
      <c r="AE219" s="61">
        <f>SUM(AB219:AD219)</f>
        <v>0</v>
      </c>
      <c r="AF219" s="63">
        <f t="shared" si="45"/>
        <v>0</v>
      </c>
    </row>
    <row r="220" spans="1:32" x14ac:dyDescent="0.35">
      <c r="A220" s="66" t="s">
        <v>312</v>
      </c>
      <c r="B220" s="67">
        <v>4</v>
      </c>
      <c r="C220" s="66"/>
      <c r="D220" s="66">
        <f t="shared" ref="D220:AE220" si="51">SUM(D216:D219)</f>
        <v>0</v>
      </c>
      <c r="E220" s="66">
        <f t="shared" si="51"/>
        <v>0</v>
      </c>
      <c r="F220" s="66">
        <f t="shared" si="51"/>
        <v>0</v>
      </c>
      <c r="G220" s="61">
        <f t="shared" si="51"/>
        <v>0</v>
      </c>
      <c r="H220" s="66">
        <f t="shared" si="51"/>
        <v>0</v>
      </c>
      <c r="I220" s="66">
        <f t="shared" si="51"/>
        <v>0</v>
      </c>
      <c r="J220" s="66">
        <f t="shared" si="51"/>
        <v>0</v>
      </c>
      <c r="K220" s="61">
        <f t="shared" si="51"/>
        <v>0</v>
      </c>
      <c r="L220" s="66">
        <f t="shared" si="51"/>
        <v>0</v>
      </c>
      <c r="M220" s="66">
        <f t="shared" si="51"/>
        <v>0</v>
      </c>
      <c r="N220" s="66">
        <f t="shared" si="51"/>
        <v>0</v>
      </c>
      <c r="O220" s="61">
        <f t="shared" si="51"/>
        <v>0</v>
      </c>
      <c r="P220" s="66">
        <f t="shared" si="51"/>
        <v>0</v>
      </c>
      <c r="Q220" s="66">
        <f t="shared" si="51"/>
        <v>0</v>
      </c>
      <c r="R220" s="66">
        <f t="shared" si="51"/>
        <v>0</v>
      </c>
      <c r="S220" s="61">
        <f t="shared" si="51"/>
        <v>0</v>
      </c>
      <c r="T220" s="66">
        <f t="shared" si="51"/>
        <v>0</v>
      </c>
      <c r="U220" s="66">
        <f t="shared" si="51"/>
        <v>0</v>
      </c>
      <c r="V220" s="66">
        <f t="shared" si="51"/>
        <v>0</v>
      </c>
      <c r="W220" s="61">
        <f t="shared" si="51"/>
        <v>0</v>
      </c>
      <c r="X220" s="66">
        <f t="shared" si="51"/>
        <v>0</v>
      </c>
      <c r="Y220" s="66">
        <f t="shared" si="51"/>
        <v>0</v>
      </c>
      <c r="Z220" s="66">
        <f t="shared" si="51"/>
        <v>0</v>
      </c>
      <c r="AA220" s="61">
        <f t="shared" si="51"/>
        <v>0</v>
      </c>
      <c r="AB220" s="66">
        <f t="shared" si="51"/>
        <v>0</v>
      </c>
      <c r="AC220" s="66">
        <f t="shared" si="51"/>
        <v>0</v>
      </c>
      <c r="AD220" s="66">
        <f t="shared" si="51"/>
        <v>0</v>
      </c>
      <c r="AE220" s="61">
        <f t="shared" si="51"/>
        <v>0</v>
      </c>
      <c r="AF220" s="68">
        <f t="shared" si="45"/>
        <v>0</v>
      </c>
    </row>
    <row r="221" spans="1:32" hidden="1" x14ac:dyDescent="0.35">
      <c r="A221" s="59" t="s">
        <v>313</v>
      </c>
      <c r="B221" s="54">
        <v>11</v>
      </c>
      <c r="C221" s="60" t="s">
        <v>225</v>
      </c>
      <c r="D221" s="60"/>
      <c r="E221" s="60"/>
      <c r="F221" s="60"/>
      <c r="G221" s="61">
        <f>SUM(D221:F221)</f>
        <v>0</v>
      </c>
      <c r="H221" s="60"/>
      <c r="I221" s="60"/>
      <c r="J221" s="60"/>
      <c r="K221" s="61">
        <f>SUM(H221:J221)</f>
        <v>0</v>
      </c>
      <c r="L221" s="60"/>
      <c r="M221" s="60"/>
      <c r="N221" s="60"/>
      <c r="O221" s="61">
        <f>SUM(L221:N221)</f>
        <v>0</v>
      </c>
      <c r="P221" s="60"/>
      <c r="Q221" s="60"/>
      <c r="R221" s="60"/>
      <c r="S221" s="61">
        <f>SUM(P221:R221)</f>
        <v>0</v>
      </c>
      <c r="T221" s="60"/>
      <c r="U221" s="60"/>
      <c r="V221" s="60"/>
      <c r="W221" s="61">
        <f>SUM(T221:V221)</f>
        <v>0</v>
      </c>
      <c r="X221" s="60"/>
      <c r="Y221" s="60"/>
      <c r="Z221" s="60"/>
      <c r="AA221" s="61">
        <f>SUM(X221:Z221)</f>
        <v>0</v>
      </c>
      <c r="AB221" s="60"/>
      <c r="AC221" s="60"/>
      <c r="AD221" s="60"/>
      <c r="AE221" s="61">
        <f>SUM(AB221:AD221)</f>
        <v>0</v>
      </c>
      <c r="AF221" s="62">
        <f t="shared" si="45"/>
        <v>0</v>
      </c>
    </row>
    <row r="222" spans="1:32" hidden="1" x14ac:dyDescent="0.35">
      <c r="A222" s="111" t="s">
        <v>300</v>
      </c>
      <c r="C222" s="63" t="s">
        <v>227</v>
      </c>
      <c r="D222" s="63"/>
      <c r="E222" s="63"/>
      <c r="F222" s="63"/>
      <c r="G222" s="61">
        <f>SUM(D222:F222)</f>
        <v>0</v>
      </c>
      <c r="H222" s="63"/>
      <c r="I222" s="63"/>
      <c r="J222" s="63"/>
      <c r="K222" s="61">
        <f>SUM(H222:J222)</f>
        <v>0</v>
      </c>
      <c r="L222" s="63"/>
      <c r="M222" s="63"/>
      <c r="N222" s="63"/>
      <c r="O222" s="61">
        <f>SUM(L222:N222)</f>
        <v>0</v>
      </c>
      <c r="P222" s="63"/>
      <c r="Q222" s="63"/>
      <c r="R222" s="63"/>
      <c r="S222" s="61">
        <f>SUM(P222:R222)</f>
        <v>0</v>
      </c>
      <c r="T222" s="63"/>
      <c r="U222" s="63"/>
      <c r="V222" s="63"/>
      <c r="W222" s="61">
        <f>SUM(T222:V222)</f>
        <v>0</v>
      </c>
      <c r="X222" s="63"/>
      <c r="Y222" s="63"/>
      <c r="Z222" s="63"/>
      <c r="AA222" s="61">
        <f>SUM(X222:Z222)</f>
        <v>0</v>
      </c>
      <c r="AB222" s="63"/>
      <c r="AC222" s="63"/>
      <c r="AD222" s="63"/>
      <c r="AE222" s="61">
        <f>SUM(AB222:AD222)</f>
        <v>0</v>
      </c>
      <c r="AF222" s="64">
        <f t="shared" si="45"/>
        <v>0</v>
      </c>
    </row>
    <row r="223" spans="1:32" hidden="1" x14ac:dyDescent="0.35">
      <c r="A223" s="111"/>
      <c r="C223" s="60" t="s">
        <v>228</v>
      </c>
      <c r="D223" s="60"/>
      <c r="E223" s="60"/>
      <c r="F223" s="60"/>
      <c r="G223" s="61">
        <f>SUM(D223:F223)</f>
        <v>0</v>
      </c>
      <c r="H223" s="60"/>
      <c r="I223" s="60"/>
      <c r="J223" s="60"/>
      <c r="K223" s="61">
        <f>SUM(H223:J223)</f>
        <v>0</v>
      </c>
      <c r="L223" s="60"/>
      <c r="M223" s="60"/>
      <c r="N223" s="60"/>
      <c r="O223" s="61">
        <f>SUM(L223:N223)</f>
        <v>0</v>
      </c>
      <c r="P223" s="60"/>
      <c r="Q223" s="60"/>
      <c r="R223" s="60"/>
      <c r="S223" s="61">
        <f>SUM(P223:R223)</f>
        <v>0</v>
      </c>
      <c r="T223" s="60"/>
      <c r="U223" s="60"/>
      <c r="V223" s="60"/>
      <c r="W223" s="61">
        <f>SUM(T223:V223)</f>
        <v>0</v>
      </c>
      <c r="X223" s="60"/>
      <c r="Y223" s="60"/>
      <c r="Z223" s="60"/>
      <c r="AA223" s="61">
        <f>SUM(X223:Z223)</f>
        <v>0</v>
      </c>
      <c r="AB223" s="60"/>
      <c r="AC223" s="60"/>
      <c r="AD223" s="60"/>
      <c r="AE223" s="61">
        <f>SUM(AB223:AD223)</f>
        <v>0</v>
      </c>
      <c r="AF223" s="65">
        <f t="shared" si="45"/>
        <v>0</v>
      </c>
    </row>
    <row r="224" spans="1:32" hidden="1" x14ac:dyDescent="0.35">
      <c r="A224" s="111"/>
      <c r="C224" s="63" t="s">
        <v>235</v>
      </c>
      <c r="D224" s="63"/>
      <c r="E224" s="63"/>
      <c r="F224" s="63"/>
      <c r="G224" s="61">
        <f>SUM(D224:F224)</f>
        <v>0</v>
      </c>
      <c r="H224" s="63"/>
      <c r="I224" s="63"/>
      <c r="J224" s="63"/>
      <c r="K224" s="61">
        <f>SUM(H224:J224)</f>
        <v>0</v>
      </c>
      <c r="L224" s="63"/>
      <c r="M224" s="63"/>
      <c r="N224" s="63"/>
      <c r="O224" s="61">
        <f>SUM(L224:N224)</f>
        <v>0</v>
      </c>
      <c r="P224" s="63"/>
      <c r="Q224" s="63"/>
      <c r="R224" s="63"/>
      <c r="S224" s="61">
        <f>SUM(P224:R224)</f>
        <v>0</v>
      </c>
      <c r="T224" s="63"/>
      <c r="U224" s="63"/>
      <c r="V224" s="63"/>
      <c r="W224" s="61">
        <f>SUM(T224:V224)</f>
        <v>0</v>
      </c>
      <c r="X224" s="63"/>
      <c r="Y224" s="63"/>
      <c r="Z224" s="63"/>
      <c r="AA224" s="61">
        <f>SUM(X224:Z224)</f>
        <v>0</v>
      </c>
      <c r="AB224" s="63"/>
      <c r="AC224" s="63"/>
      <c r="AD224" s="63"/>
      <c r="AE224" s="61">
        <f>SUM(AB224:AD224)</f>
        <v>0</v>
      </c>
      <c r="AF224" s="63">
        <f t="shared" si="45"/>
        <v>0</v>
      </c>
    </row>
    <row r="225" spans="1:32" x14ac:dyDescent="0.35">
      <c r="A225" s="66" t="s">
        <v>313</v>
      </c>
      <c r="B225" s="67">
        <v>11</v>
      </c>
      <c r="C225" s="66"/>
      <c r="D225" s="66">
        <f t="shared" ref="D225:AE225" si="52">SUM(D221:D224)</f>
        <v>0</v>
      </c>
      <c r="E225" s="66">
        <f t="shared" si="52"/>
        <v>0</v>
      </c>
      <c r="F225" s="66">
        <f t="shared" si="52"/>
        <v>0</v>
      </c>
      <c r="G225" s="61">
        <f t="shared" si="52"/>
        <v>0</v>
      </c>
      <c r="H225" s="66">
        <f t="shared" si="52"/>
        <v>0</v>
      </c>
      <c r="I225" s="66">
        <f t="shared" si="52"/>
        <v>0</v>
      </c>
      <c r="J225" s="66">
        <f t="shared" si="52"/>
        <v>0</v>
      </c>
      <c r="K225" s="61">
        <f t="shared" si="52"/>
        <v>0</v>
      </c>
      <c r="L225" s="66">
        <f t="shared" si="52"/>
        <v>0</v>
      </c>
      <c r="M225" s="66">
        <f t="shared" si="52"/>
        <v>0</v>
      </c>
      <c r="N225" s="66">
        <f t="shared" si="52"/>
        <v>0</v>
      </c>
      <c r="O225" s="61">
        <f t="shared" si="52"/>
        <v>0</v>
      </c>
      <c r="P225" s="66">
        <f t="shared" si="52"/>
        <v>0</v>
      </c>
      <c r="Q225" s="66">
        <f t="shared" si="52"/>
        <v>0</v>
      </c>
      <c r="R225" s="66">
        <f t="shared" si="52"/>
        <v>0</v>
      </c>
      <c r="S225" s="61">
        <f t="shared" si="52"/>
        <v>0</v>
      </c>
      <c r="T225" s="66">
        <f t="shared" si="52"/>
        <v>0</v>
      </c>
      <c r="U225" s="66">
        <f t="shared" si="52"/>
        <v>0</v>
      </c>
      <c r="V225" s="66">
        <f t="shared" si="52"/>
        <v>0</v>
      </c>
      <c r="W225" s="61">
        <f t="shared" si="52"/>
        <v>0</v>
      </c>
      <c r="X225" s="66">
        <f t="shared" si="52"/>
        <v>0</v>
      </c>
      <c r="Y225" s="66">
        <f t="shared" si="52"/>
        <v>0</v>
      </c>
      <c r="Z225" s="66">
        <f t="shared" si="52"/>
        <v>0</v>
      </c>
      <c r="AA225" s="61">
        <f t="shared" si="52"/>
        <v>0</v>
      </c>
      <c r="AB225" s="66">
        <f t="shared" si="52"/>
        <v>0</v>
      </c>
      <c r="AC225" s="66">
        <f t="shared" si="52"/>
        <v>0</v>
      </c>
      <c r="AD225" s="66">
        <f t="shared" si="52"/>
        <v>0</v>
      </c>
      <c r="AE225" s="61">
        <f t="shared" si="52"/>
        <v>0</v>
      </c>
      <c r="AF225" s="68">
        <f t="shared" si="45"/>
        <v>0</v>
      </c>
    </row>
    <row r="226" spans="1:32" hidden="1" x14ac:dyDescent="0.35">
      <c r="A226" s="59" t="s">
        <v>314</v>
      </c>
      <c r="B226" s="54">
        <v>8</v>
      </c>
      <c r="C226" s="60" t="s">
        <v>225</v>
      </c>
      <c r="D226" s="60">
        <v>7</v>
      </c>
      <c r="E226" s="60"/>
      <c r="F226" s="60"/>
      <c r="G226" s="61">
        <f>SUM(D226:F226)</f>
        <v>7</v>
      </c>
      <c r="H226" s="60"/>
      <c r="I226" s="60"/>
      <c r="J226" s="60"/>
      <c r="K226" s="61">
        <f>SUM(H226:J226)</f>
        <v>0</v>
      </c>
      <c r="L226" s="60"/>
      <c r="M226" s="60"/>
      <c r="N226" s="60"/>
      <c r="O226" s="61">
        <f>SUM(L226:N226)</f>
        <v>0</v>
      </c>
      <c r="P226" s="60"/>
      <c r="Q226" s="60"/>
      <c r="R226" s="60"/>
      <c r="S226" s="61">
        <f>SUM(P226:R226)</f>
        <v>0</v>
      </c>
      <c r="T226" s="60"/>
      <c r="U226" s="60"/>
      <c r="V226" s="60"/>
      <c r="W226" s="61">
        <f>SUM(T226:V226)</f>
        <v>0</v>
      </c>
      <c r="X226" s="60"/>
      <c r="Y226" s="60"/>
      <c r="Z226" s="60"/>
      <c r="AA226" s="61">
        <f>SUM(X226:Z226)</f>
        <v>0</v>
      </c>
      <c r="AB226" s="60"/>
      <c r="AC226" s="60"/>
      <c r="AD226" s="60"/>
      <c r="AE226" s="61">
        <f>SUM(AB226:AD226)</f>
        <v>0</v>
      </c>
      <c r="AF226" s="62">
        <f t="shared" si="45"/>
        <v>7</v>
      </c>
    </row>
    <row r="227" spans="1:32" hidden="1" x14ac:dyDescent="0.35">
      <c r="A227" s="111" t="s">
        <v>296</v>
      </c>
      <c r="C227" s="63" t="s">
        <v>227</v>
      </c>
      <c r="D227" s="63">
        <v>7</v>
      </c>
      <c r="E227" s="63"/>
      <c r="F227" s="63"/>
      <c r="G227" s="61">
        <f>SUM(D227:F227)</f>
        <v>7</v>
      </c>
      <c r="H227" s="63">
        <v>2</v>
      </c>
      <c r="I227" s="63"/>
      <c r="J227" s="63"/>
      <c r="K227" s="61">
        <f>SUM(H227:J227)</f>
        <v>2</v>
      </c>
      <c r="L227" s="63">
        <v>3</v>
      </c>
      <c r="M227" s="63"/>
      <c r="N227" s="63"/>
      <c r="O227" s="61">
        <f>SUM(L227:N227)</f>
        <v>3</v>
      </c>
      <c r="P227" s="63"/>
      <c r="Q227" s="63"/>
      <c r="R227" s="63"/>
      <c r="S227" s="61">
        <f>SUM(P227:R227)</f>
        <v>0</v>
      </c>
      <c r="T227" s="63"/>
      <c r="U227" s="63"/>
      <c r="V227" s="63"/>
      <c r="W227" s="61">
        <f>SUM(T227:V227)</f>
        <v>0</v>
      </c>
      <c r="X227" s="63"/>
      <c r="Y227" s="63"/>
      <c r="Z227" s="63"/>
      <c r="AA227" s="61">
        <f>SUM(X227:Z227)</f>
        <v>0</v>
      </c>
      <c r="AB227" s="63"/>
      <c r="AC227" s="63"/>
      <c r="AD227" s="63"/>
      <c r="AE227" s="61">
        <f>SUM(AB227:AD227)</f>
        <v>0</v>
      </c>
      <c r="AF227" s="64">
        <f t="shared" si="45"/>
        <v>12</v>
      </c>
    </row>
    <row r="228" spans="1:32" hidden="1" x14ac:dyDescent="0.35">
      <c r="A228" s="111"/>
      <c r="C228" s="60" t="s">
        <v>228</v>
      </c>
      <c r="D228" s="60">
        <v>4</v>
      </c>
      <c r="E228" s="60"/>
      <c r="F228" s="60"/>
      <c r="G228" s="61">
        <f>SUM(D228:F228)</f>
        <v>4</v>
      </c>
      <c r="H228" s="60">
        <v>3</v>
      </c>
      <c r="I228" s="60"/>
      <c r="J228" s="60"/>
      <c r="K228" s="61">
        <f>SUM(H228:J228)</f>
        <v>3</v>
      </c>
      <c r="L228" s="60">
        <v>1</v>
      </c>
      <c r="M228" s="60"/>
      <c r="N228" s="60"/>
      <c r="O228" s="61">
        <f>SUM(L228:N228)</f>
        <v>1</v>
      </c>
      <c r="P228" s="60"/>
      <c r="Q228" s="60"/>
      <c r="R228" s="60"/>
      <c r="S228" s="61">
        <f>SUM(P228:R228)</f>
        <v>0</v>
      </c>
      <c r="T228" s="60"/>
      <c r="U228" s="60"/>
      <c r="V228" s="60"/>
      <c r="W228" s="61">
        <f>SUM(T228:V228)</f>
        <v>0</v>
      </c>
      <c r="X228" s="60"/>
      <c r="Y228" s="60"/>
      <c r="Z228" s="60"/>
      <c r="AA228" s="61">
        <f>SUM(X228:Z228)</f>
        <v>0</v>
      </c>
      <c r="AB228" s="60"/>
      <c r="AC228" s="60"/>
      <c r="AD228" s="60"/>
      <c r="AE228" s="61">
        <f>SUM(AB228:AD228)</f>
        <v>0</v>
      </c>
      <c r="AF228" s="65">
        <f t="shared" si="45"/>
        <v>8</v>
      </c>
    </row>
    <row r="229" spans="1:32" hidden="1" x14ac:dyDescent="0.35">
      <c r="A229" s="111"/>
      <c r="C229" s="63" t="s">
        <v>235</v>
      </c>
      <c r="D229" s="63">
        <v>6</v>
      </c>
      <c r="E229" s="63"/>
      <c r="F229" s="63"/>
      <c r="G229" s="61">
        <f>SUM(D229:F229)</f>
        <v>6</v>
      </c>
      <c r="H229" s="63">
        <v>3</v>
      </c>
      <c r="I229" s="63"/>
      <c r="J229" s="63"/>
      <c r="K229" s="61">
        <f>SUM(H229:J229)</f>
        <v>3</v>
      </c>
      <c r="L229" s="63">
        <v>3</v>
      </c>
      <c r="M229" s="63"/>
      <c r="N229" s="63"/>
      <c r="O229" s="61">
        <f>SUM(L229:N229)</f>
        <v>3</v>
      </c>
      <c r="P229" s="63"/>
      <c r="Q229" s="63"/>
      <c r="R229" s="63"/>
      <c r="S229" s="61">
        <f>SUM(P229:R229)</f>
        <v>0</v>
      </c>
      <c r="T229" s="63"/>
      <c r="U229" s="63"/>
      <c r="V229" s="63"/>
      <c r="W229" s="61">
        <f>SUM(T229:V229)</f>
        <v>0</v>
      </c>
      <c r="X229" s="63"/>
      <c r="Y229" s="63"/>
      <c r="Z229" s="63"/>
      <c r="AA229" s="61">
        <f>SUM(X229:Z229)</f>
        <v>0</v>
      </c>
      <c r="AB229" s="63"/>
      <c r="AC229" s="63"/>
      <c r="AD229" s="63"/>
      <c r="AE229" s="61">
        <f>SUM(AB229:AD229)</f>
        <v>0</v>
      </c>
      <c r="AF229" s="63">
        <f t="shared" si="45"/>
        <v>12</v>
      </c>
    </row>
    <row r="230" spans="1:32" x14ac:dyDescent="0.35">
      <c r="A230" s="66" t="s">
        <v>314</v>
      </c>
      <c r="B230" s="67">
        <v>8</v>
      </c>
      <c r="C230" s="66"/>
      <c r="D230" s="66">
        <f t="shared" ref="D230:AE230" si="53">SUM(D226:D229)</f>
        <v>24</v>
      </c>
      <c r="E230" s="66">
        <f t="shared" si="53"/>
        <v>0</v>
      </c>
      <c r="F230" s="66">
        <f t="shared" si="53"/>
        <v>0</v>
      </c>
      <c r="G230" s="61">
        <f t="shared" si="53"/>
        <v>24</v>
      </c>
      <c r="H230" s="66">
        <f t="shared" si="53"/>
        <v>8</v>
      </c>
      <c r="I230" s="66">
        <f t="shared" si="53"/>
        <v>0</v>
      </c>
      <c r="J230" s="66">
        <f t="shared" si="53"/>
        <v>0</v>
      </c>
      <c r="K230" s="61">
        <f t="shared" si="53"/>
        <v>8</v>
      </c>
      <c r="L230" s="66">
        <f t="shared" si="53"/>
        <v>7</v>
      </c>
      <c r="M230" s="66">
        <f t="shared" si="53"/>
        <v>0</v>
      </c>
      <c r="N230" s="66">
        <f t="shared" si="53"/>
        <v>0</v>
      </c>
      <c r="O230" s="61">
        <f t="shared" si="53"/>
        <v>7</v>
      </c>
      <c r="P230" s="66">
        <f t="shared" si="53"/>
        <v>0</v>
      </c>
      <c r="Q230" s="66">
        <f t="shared" si="53"/>
        <v>0</v>
      </c>
      <c r="R230" s="66">
        <f t="shared" si="53"/>
        <v>0</v>
      </c>
      <c r="S230" s="61">
        <f t="shared" si="53"/>
        <v>0</v>
      </c>
      <c r="T230" s="66">
        <f t="shared" si="53"/>
        <v>0</v>
      </c>
      <c r="U230" s="66">
        <f t="shared" si="53"/>
        <v>0</v>
      </c>
      <c r="V230" s="66">
        <f t="shared" si="53"/>
        <v>0</v>
      </c>
      <c r="W230" s="61">
        <f t="shared" si="53"/>
        <v>0</v>
      </c>
      <c r="X230" s="66">
        <f t="shared" si="53"/>
        <v>0</v>
      </c>
      <c r="Y230" s="66">
        <f t="shared" si="53"/>
        <v>0</v>
      </c>
      <c r="Z230" s="66">
        <f t="shared" si="53"/>
        <v>0</v>
      </c>
      <c r="AA230" s="61">
        <f t="shared" si="53"/>
        <v>0</v>
      </c>
      <c r="AB230" s="66">
        <f t="shared" si="53"/>
        <v>0</v>
      </c>
      <c r="AC230" s="66">
        <f t="shared" si="53"/>
        <v>0</v>
      </c>
      <c r="AD230" s="66">
        <f t="shared" si="53"/>
        <v>0</v>
      </c>
      <c r="AE230" s="61">
        <f t="shared" si="53"/>
        <v>0</v>
      </c>
      <c r="AF230" s="68">
        <f t="shared" si="45"/>
        <v>39</v>
      </c>
    </row>
    <row r="231" spans="1:32" hidden="1" x14ac:dyDescent="0.35">
      <c r="A231" s="59" t="s">
        <v>315</v>
      </c>
      <c r="B231" s="54" t="s">
        <v>266</v>
      </c>
      <c r="C231" s="60" t="s">
        <v>225</v>
      </c>
      <c r="D231" s="60">
        <v>5</v>
      </c>
      <c r="E231" s="60"/>
      <c r="F231" s="60"/>
      <c r="G231" s="61">
        <f>SUM(D231:F231)</f>
        <v>5</v>
      </c>
      <c r="H231" s="60"/>
      <c r="I231" s="60"/>
      <c r="J231" s="60"/>
      <c r="K231" s="61">
        <f>SUM(H231:J231)</f>
        <v>0</v>
      </c>
      <c r="L231" s="60">
        <v>1</v>
      </c>
      <c r="M231" s="60"/>
      <c r="N231" s="60"/>
      <c r="O231" s="61">
        <f>SUM(L231:N231)</f>
        <v>1</v>
      </c>
      <c r="P231" s="60"/>
      <c r="Q231" s="60"/>
      <c r="R231" s="60"/>
      <c r="S231" s="61">
        <f>SUM(P231:R231)</f>
        <v>0</v>
      </c>
      <c r="T231" s="60"/>
      <c r="U231" s="60"/>
      <c r="V231" s="60"/>
      <c r="W231" s="61">
        <f>SUM(T231:V231)</f>
        <v>0</v>
      </c>
      <c r="X231" s="60"/>
      <c r="Y231" s="60"/>
      <c r="Z231" s="60"/>
      <c r="AA231" s="61">
        <f>SUM(X231:Z231)</f>
        <v>0</v>
      </c>
      <c r="AB231" s="60"/>
      <c r="AC231" s="60"/>
      <c r="AD231" s="60"/>
      <c r="AE231" s="61">
        <f>SUM(AB231:AD231)</f>
        <v>0</v>
      </c>
      <c r="AF231" s="62">
        <f t="shared" si="45"/>
        <v>6</v>
      </c>
    </row>
    <row r="232" spans="1:32" hidden="1" x14ac:dyDescent="0.35">
      <c r="A232" s="111" t="s">
        <v>267</v>
      </c>
      <c r="C232" s="63" t="s">
        <v>227</v>
      </c>
      <c r="D232" s="63">
        <v>7</v>
      </c>
      <c r="E232" s="63"/>
      <c r="F232" s="63"/>
      <c r="G232" s="61">
        <f>SUM(D232:F232)</f>
        <v>7</v>
      </c>
      <c r="H232" s="63"/>
      <c r="I232" s="63"/>
      <c r="J232" s="63"/>
      <c r="K232" s="61">
        <f>SUM(H232:J232)</f>
        <v>0</v>
      </c>
      <c r="L232" s="63"/>
      <c r="M232" s="63"/>
      <c r="N232" s="63"/>
      <c r="O232" s="61">
        <f>SUM(L232:N232)</f>
        <v>0</v>
      </c>
      <c r="P232" s="63"/>
      <c r="Q232" s="63"/>
      <c r="R232" s="63"/>
      <c r="S232" s="61">
        <f>SUM(P232:R232)</f>
        <v>0</v>
      </c>
      <c r="T232" s="63"/>
      <c r="U232" s="63"/>
      <c r="V232" s="63"/>
      <c r="W232" s="61">
        <f>SUM(T232:V232)</f>
        <v>0</v>
      </c>
      <c r="X232" s="63"/>
      <c r="Y232" s="63"/>
      <c r="Z232" s="63"/>
      <c r="AA232" s="61">
        <f>SUM(X232:Z232)</f>
        <v>0</v>
      </c>
      <c r="AB232" s="63"/>
      <c r="AC232" s="63"/>
      <c r="AD232" s="63"/>
      <c r="AE232" s="61">
        <f>SUM(AB232:AD232)</f>
        <v>0</v>
      </c>
      <c r="AF232" s="64">
        <f t="shared" si="45"/>
        <v>7</v>
      </c>
    </row>
    <row r="233" spans="1:32" hidden="1" x14ac:dyDescent="0.35">
      <c r="A233" s="111"/>
      <c r="C233" s="60" t="s">
        <v>228</v>
      </c>
      <c r="D233" s="60">
        <v>3</v>
      </c>
      <c r="E233" s="60"/>
      <c r="F233" s="60"/>
      <c r="G233" s="61">
        <f>SUM(D233:F233)</f>
        <v>3</v>
      </c>
      <c r="H233" s="60"/>
      <c r="I233" s="60"/>
      <c r="J233" s="60"/>
      <c r="K233" s="61">
        <f>SUM(H233:J233)</f>
        <v>0</v>
      </c>
      <c r="L233" s="60"/>
      <c r="M233" s="60"/>
      <c r="N233" s="60"/>
      <c r="O233" s="61">
        <f>SUM(L233:N233)</f>
        <v>0</v>
      </c>
      <c r="P233" s="60"/>
      <c r="Q233" s="60"/>
      <c r="R233" s="60"/>
      <c r="S233" s="61">
        <f>SUM(P233:R233)</f>
        <v>0</v>
      </c>
      <c r="T233" s="60"/>
      <c r="U233" s="60"/>
      <c r="V233" s="60"/>
      <c r="W233" s="61">
        <f>SUM(T233:V233)</f>
        <v>0</v>
      </c>
      <c r="X233" s="60"/>
      <c r="Y233" s="60"/>
      <c r="Z233" s="60"/>
      <c r="AA233" s="61">
        <f>SUM(X233:Z233)</f>
        <v>0</v>
      </c>
      <c r="AB233" s="60"/>
      <c r="AC233" s="60"/>
      <c r="AD233" s="60"/>
      <c r="AE233" s="61">
        <f>SUM(AB233:AD233)</f>
        <v>0</v>
      </c>
      <c r="AF233" s="65">
        <f t="shared" si="45"/>
        <v>3</v>
      </c>
    </row>
    <row r="234" spans="1:32" hidden="1" x14ac:dyDescent="0.35">
      <c r="A234" s="111"/>
      <c r="C234" s="63" t="s">
        <v>235</v>
      </c>
      <c r="D234" s="63">
        <v>4</v>
      </c>
      <c r="E234" s="63"/>
      <c r="F234" s="63"/>
      <c r="G234" s="61">
        <f>SUM(D234:F234)</f>
        <v>4</v>
      </c>
      <c r="H234" s="63"/>
      <c r="I234" s="63"/>
      <c r="J234" s="63"/>
      <c r="K234" s="61">
        <f>SUM(H234:J234)</f>
        <v>0</v>
      </c>
      <c r="L234" s="63"/>
      <c r="M234" s="63"/>
      <c r="N234" s="63"/>
      <c r="O234" s="61">
        <f>SUM(L234:N234)</f>
        <v>0</v>
      </c>
      <c r="P234" s="63"/>
      <c r="Q234" s="63"/>
      <c r="R234" s="63"/>
      <c r="S234" s="61">
        <f>SUM(P234:R234)</f>
        <v>0</v>
      </c>
      <c r="T234" s="63"/>
      <c r="U234" s="63"/>
      <c r="V234" s="63"/>
      <c r="W234" s="61">
        <f>SUM(T234:V234)</f>
        <v>0</v>
      </c>
      <c r="X234" s="63"/>
      <c r="Y234" s="63"/>
      <c r="Z234" s="63"/>
      <c r="AA234" s="61">
        <f>SUM(X234:Z234)</f>
        <v>0</v>
      </c>
      <c r="AB234" s="63"/>
      <c r="AC234" s="63"/>
      <c r="AD234" s="63"/>
      <c r="AE234" s="61">
        <f>SUM(AB234:AD234)</f>
        <v>0</v>
      </c>
      <c r="AF234" s="63">
        <f t="shared" si="45"/>
        <v>4</v>
      </c>
    </row>
    <row r="235" spans="1:32" x14ac:dyDescent="0.35">
      <c r="A235" s="66" t="s">
        <v>315</v>
      </c>
      <c r="B235" s="67" t="s">
        <v>266</v>
      </c>
      <c r="C235" s="66"/>
      <c r="D235" s="66">
        <f t="shared" ref="D235:AE235" si="54">SUM(D231:D234)</f>
        <v>19</v>
      </c>
      <c r="E235" s="66">
        <f t="shared" si="54"/>
        <v>0</v>
      </c>
      <c r="F235" s="66">
        <f t="shared" si="54"/>
        <v>0</v>
      </c>
      <c r="G235" s="61">
        <f t="shared" si="54"/>
        <v>19</v>
      </c>
      <c r="H235" s="66">
        <f t="shared" si="54"/>
        <v>0</v>
      </c>
      <c r="I235" s="66">
        <f t="shared" si="54"/>
        <v>0</v>
      </c>
      <c r="J235" s="66">
        <f t="shared" si="54"/>
        <v>0</v>
      </c>
      <c r="K235" s="61">
        <f t="shared" si="54"/>
        <v>0</v>
      </c>
      <c r="L235" s="66">
        <f t="shared" si="54"/>
        <v>1</v>
      </c>
      <c r="M235" s="66">
        <f t="shared" si="54"/>
        <v>0</v>
      </c>
      <c r="N235" s="66">
        <f t="shared" si="54"/>
        <v>0</v>
      </c>
      <c r="O235" s="61">
        <f t="shared" si="54"/>
        <v>1</v>
      </c>
      <c r="P235" s="66">
        <f t="shared" si="54"/>
        <v>0</v>
      </c>
      <c r="Q235" s="66">
        <f t="shared" si="54"/>
        <v>0</v>
      </c>
      <c r="R235" s="66">
        <f t="shared" si="54"/>
        <v>0</v>
      </c>
      <c r="S235" s="61">
        <f t="shared" si="54"/>
        <v>0</v>
      </c>
      <c r="T235" s="66">
        <f t="shared" si="54"/>
        <v>0</v>
      </c>
      <c r="U235" s="66">
        <f t="shared" si="54"/>
        <v>0</v>
      </c>
      <c r="V235" s="66">
        <f t="shared" si="54"/>
        <v>0</v>
      </c>
      <c r="W235" s="61">
        <f t="shared" si="54"/>
        <v>0</v>
      </c>
      <c r="X235" s="66">
        <f t="shared" si="54"/>
        <v>0</v>
      </c>
      <c r="Y235" s="66">
        <f t="shared" si="54"/>
        <v>0</v>
      </c>
      <c r="Z235" s="66">
        <f t="shared" si="54"/>
        <v>0</v>
      </c>
      <c r="AA235" s="61">
        <f t="shared" si="54"/>
        <v>0</v>
      </c>
      <c r="AB235" s="66">
        <f t="shared" si="54"/>
        <v>0</v>
      </c>
      <c r="AC235" s="66">
        <f t="shared" si="54"/>
        <v>0</v>
      </c>
      <c r="AD235" s="66">
        <f t="shared" si="54"/>
        <v>0</v>
      </c>
      <c r="AE235" s="61">
        <f t="shared" si="54"/>
        <v>0</v>
      </c>
      <c r="AF235" s="68">
        <f t="shared" si="45"/>
        <v>20</v>
      </c>
    </row>
    <row r="236" spans="1:32" hidden="1" x14ac:dyDescent="0.35">
      <c r="A236" s="59" t="s">
        <v>316</v>
      </c>
      <c r="B236" s="54">
        <v>30</v>
      </c>
      <c r="C236" s="60" t="s">
        <v>225</v>
      </c>
      <c r="D236" s="60"/>
      <c r="E236" s="60"/>
      <c r="F236" s="60"/>
      <c r="G236" s="61">
        <f>SUM(D236:F236)</f>
        <v>0</v>
      </c>
      <c r="H236" s="60"/>
      <c r="I236" s="60"/>
      <c r="J236" s="60"/>
      <c r="K236" s="61">
        <f>SUM(H236:J236)</f>
        <v>0</v>
      </c>
      <c r="L236" s="60"/>
      <c r="M236" s="60"/>
      <c r="N236" s="60"/>
      <c r="O236" s="61">
        <f>SUM(L236:N236)</f>
        <v>0</v>
      </c>
      <c r="P236" s="60"/>
      <c r="Q236" s="60"/>
      <c r="R236" s="60"/>
      <c r="S236" s="61">
        <f>SUM(P236:R236)</f>
        <v>0</v>
      </c>
      <c r="T236" s="60"/>
      <c r="U236" s="60"/>
      <c r="V236" s="60"/>
      <c r="W236" s="61">
        <f>SUM(T236:V236)</f>
        <v>0</v>
      </c>
      <c r="X236" s="60"/>
      <c r="Y236" s="60"/>
      <c r="Z236" s="60"/>
      <c r="AA236" s="61">
        <f>SUM(X236:Z236)</f>
        <v>0</v>
      </c>
      <c r="AB236" s="60"/>
      <c r="AC236" s="60"/>
      <c r="AD236" s="60"/>
      <c r="AE236" s="61">
        <f>SUM(AB236:AD236)</f>
        <v>0</v>
      </c>
      <c r="AF236" s="62">
        <f t="shared" si="45"/>
        <v>0</v>
      </c>
    </row>
    <row r="237" spans="1:32" hidden="1" x14ac:dyDescent="0.35">
      <c r="A237" s="111" t="s">
        <v>263</v>
      </c>
      <c r="C237" s="63" t="s">
        <v>227</v>
      </c>
      <c r="D237" s="63"/>
      <c r="E237" s="63"/>
      <c r="F237" s="63"/>
      <c r="G237" s="61">
        <f>SUM(D237:F237)</f>
        <v>0</v>
      </c>
      <c r="H237" s="63"/>
      <c r="I237" s="63"/>
      <c r="J237" s="63"/>
      <c r="K237" s="61">
        <f>SUM(H237:J237)</f>
        <v>0</v>
      </c>
      <c r="L237" s="63"/>
      <c r="M237" s="63"/>
      <c r="N237" s="63"/>
      <c r="O237" s="61">
        <f>SUM(L237:N237)</f>
        <v>0</v>
      </c>
      <c r="P237" s="63"/>
      <c r="Q237" s="63"/>
      <c r="R237" s="63"/>
      <c r="S237" s="61">
        <f>SUM(P237:R237)</f>
        <v>0</v>
      </c>
      <c r="T237" s="63"/>
      <c r="U237" s="63"/>
      <c r="V237" s="63"/>
      <c r="W237" s="61">
        <f>SUM(T237:V237)</f>
        <v>0</v>
      </c>
      <c r="X237" s="63"/>
      <c r="Y237" s="63"/>
      <c r="Z237" s="63"/>
      <c r="AA237" s="61">
        <f>SUM(X237:Z237)</f>
        <v>0</v>
      </c>
      <c r="AB237" s="63"/>
      <c r="AC237" s="63"/>
      <c r="AD237" s="63"/>
      <c r="AE237" s="61">
        <f>SUM(AB237:AD237)</f>
        <v>0</v>
      </c>
      <c r="AF237" s="64">
        <f t="shared" si="45"/>
        <v>0</v>
      </c>
    </row>
    <row r="238" spans="1:32" hidden="1" x14ac:dyDescent="0.35">
      <c r="A238" s="111"/>
      <c r="C238" s="60" t="s">
        <v>228</v>
      </c>
      <c r="D238" s="60"/>
      <c r="E238" s="60"/>
      <c r="F238" s="60"/>
      <c r="G238" s="61">
        <f>SUM(D238:F238)</f>
        <v>0</v>
      </c>
      <c r="H238" s="60"/>
      <c r="I238" s="60"/>
      <c r="J238" s="60"/>
      <c r="K238" s="61">
        <f>SUM(H238:J238)</f>
        <v>0</v>
      </c>
      <c r="L238" s="60"/>
      <c r="M238" s="60">
        <v>1</v>
      </c>
      <c r="N238" s="60"/>
      <c r="O238" s="61">
        <f>SUM(L238:N238)</f>
        <v>1</v>
      </c>
      <c r="P238" s="60"/>
      <c r="Q238" s="60"/>
      <c r="R238" s="60"/>
      <c r="S238" s="61">
        <f>SUM(P238:R238)</f>
        <v>0</v>
      </c>
      <c r="T238" s="60"/>
      <c r="U238" s="60"/>
      <c r="V238" s="60"/>
      <c r="W238" s="61">
        <f>SUM(T238:V238)</f>
        <v>0</v>
      </c>
      <c r="X238" s="60"/>
      <c r="Y238" s="60"/>
      <c r="Z238" s="60"/>
      <c r="AA238" s="61">
        <f>SUM(X238:Z238)</f>
        <v>0</v>
      </c>
      <c r="AB238" s="60"/>
      <c r="AC238" s="60"/>
      <c r="AD238" s="60"/>
      <c r="AE238" s="61">
        <f>SUM(AB238:AD238)</f>
        <v>0</v>
      </c>
      <c r="AF238" s="65">
        <f t="shared" si="45"/>
        <v>1</v>
      </c>
    </row>
    <row r="239" spans="1:32" hidden="1" x14ac:dyDescent="0.35">
      <c r="A239" s="111"/>
      <c r="C239" s="63" t="s">
        <v>235</v>
      </c>
      <c r="D239" s="63"/>
      <c r="E239" s="63"/>
      <c r="F239" s="63"/>
      <c r="G239" s="61">
        <f>SUM(D239:F239)</f>
        <v>0</v>
      </c>
      <c r="H239" s="63"/>
      <c r="I239" s="63"/>
      <c r="J239" s="63"/>
      <c r="K239" s="61">
        <f>SUM(H239:J239)</f>
        <v>0</v>
      </c>
      <c r="L239" s="63"/>
      <c r="M239" s="63"/>
      <c r="N239" s="63"/>
      <c r="O239" s="61">
        <f>SUM(L239:N239)</f>
        <v>0</v>
      </c>
      <c r="P239" s="63"/>
      <c r="Q239" s="63"/>
      <c r="R239" s="63"/>
      <c r="S239" s="61">
        <f>SUM(P239:R239)</f>
        <v>0</v>
      </c>
      <c r="T239" s="63"/>
      <c r="U239" s="63"/>
      <c r="V239" s="63"/>
      <c r="W239" s="61">
        <f>SUM(T239:V239)</f>
        <v>0</v>
      </c>
      <c r="X239" s="63"/>
      <c r="Y239" s="63"/>
      <c r="Z239" s="63"/>
      <c r="AA239" s="61">
        <f>SUM(X239:Z239)</f>
        <v>0</v>
      </c>
      <c r="AB239" s="63">
        <v>3</v>
      </c>
      <c r="AC239" s="63"/>
      <c r="AD239" s="63"/>
      <c r="AE239" s="61">
        <f>SUM(AB239:AD239)</f>
        <v>3</v>
      </c>
      <c r="AF239" s="63">
        <f t="shared" si="45"/>
        <v>3</v>
      </c>
    </row>
    <row r="240" spans="1:32" x14ac:dyDescent="0.35">
      <c r="A240" s="66" t="s">
        <v>316</v>
      </c>
      <c r="B240" s="67">
        <v>30</v>
      </c>
      <c r="C240" s="66"/>
      <c r="D240" s="66">
        <f t="shared" ref="D240:AE240" si="55">SUM(D236:D239)</f>
        <v>0</v>
      </c>
      <c r="E240" s="66">
        <f t="shared" si="55"/>
        <v>0</v>
      </c>
      <c r="F240" s="66">
        <f t="shared" si="55"/>
        <v>0</v>
      </c>
      <c r="G240" s="61">
        <f t="shared" si="55"/>
        <v>0</v>
      </c>
      <c r="H240" s="66">
        <f t="shared" si="55"/>
        <v>0</v>
      </c>
      <c r="I240" s="66">
        <f t="shared" si="55"/>
        <v>0</v>
      </c>
      <c r="J240" s="66">
        <f t="shared" si="55"/>
        <v>0</v>
      </c>
      <c r="K240" s="61">
        <f t="shared" si="55"/>
        <v>0</v>
      </c>
      <c r="L240" s="66">
        <f t="shared" si="55"/>
        <v>0</v>
      </c>
      <c r="M240" s="66">
        <f t="shared" si="55"/>
        <v>1</v>
      </c>
      <c r="N240" s="66">
        <f t="shared" si="55"/>
        <v>0</v>
      </c>
      <c r="O240" s="61">
        <f t="shared" si="55"/>
        <v>1</v>
      </c>
      <c r="P240" s="66">
        <f t="shared" si="55"/>
        <v>0</v>
      </c>
      <c r="Q240" s="66">
        <f t="shared" si="55"/>
        <v>0</v>
      </c>
      <c r="R240" s="66">
        <f t="shared" si="55"/>
        <v>0</v>
      </c>
      <c r="S240" s="61">
        <f t="shared" si="55"/>
        <v>0</v>
      </c>
      <c r="T240" s="66">
        <f t="shared" si="55"/>
        <v>0</v>
      </c>
      <c r="U240" s="66">
        <f t="shared" si="55"/>
        <v>0</v>
      </c>
      <c r="V240" s="66">
        <f t="shared" si="55"/>
        <v>0</v>
      </c>
      <c r="W240" s="61">
        <f t="shared" si="55"/>
        <v>0</v>
      </c>
      <c r="X240" s="66">
        <f t="shared" si="55"/>
        <v>0</v>
      </c>
      <c r="Y240" s="66">
        <f t="shared" si="55"/>
        <v>0</v>
      </c>
      <c r="Z240" s="66">
        <f t="shared" si="55"/>
        <v>0</v>
      </c>
      <c r="AA240" s="61">
        <f t="shared" si="55"/>
        <v>0</v>
      </c>
      <c r="AB240" s="66">
        <f t="shared" si="55"/>
        <v>3</v>
      </c>
      <c r="AC240" s="66">
        <f t="shared" si="55"/>
        <v>0</v>
      </c>
      <c r="AD240" s="66">
        <f t="shared" si="55"/>
        <v>0</v>
      </c>
      <c r="AE240" s="61">
        <f t="shared" si="55"/>
        <v>3</v>
      </c>
      <c r="AF240" s="68">
        <f t="shared" si="45"/>
        <v>4</v>
      </c>
    </row>
    <row r="241" spans="1:32" hidden="1" x14ac:dyDescent="0.35">
      <c r="A241" s="59" t="s">
        <v>317</v>
      </c>
      <c r="B241" s="54">
        <v>24</v>
      </c>
      <c r="C241" s="60" t="s">
        <v>225</v>
      </c>
      <c r="D241" s="60"/>
      <c r="E241" s="60"/>
      <c r="F241" s="60"/>
      <c r="G241" s="61">
        <f>SUM(D241:F241)</f>
        <v>0</v>
      </c>
      <c r="H241" s="60"/>
      <c r="I241" s="60"/>
      <c r="J241" s="60"/>
      <c r="K241" s="61">
        <f>SUM(H241:J241)</f>
        <v>0</v>
      </c>
      <c r="L241" s="60"/>
      <c r="M241" s="60"/>
      <c r="N241" s="60"/>
      <c r="O241" s="61">
        <f>SUM(L241:N241)</f>
        <v>0</v>
      </c>
      <c r="P241" s="60"/>
      <c r="Q241" s="60"/>
      <c r="R241" s="60"/>
      <c r="S241" s="61">
        <f>SUM(P241:R241)</f>
        <v>0</v>
      </c>
      <c r="T241" s="60"/>
      <c r="U241" s="60"/>
      <c r="V241" s="60"/>
      <c r="W241" s="61">
        <f>SUM(T241:V241)</f>
        <v>0</v>
      </c>
      <c r="X241" s="60"/>
      <c r="Y241" s="60"/>
      <c r="Z241" s="60"/>
      <c r="AA241" s="61">
        <f>SUM(X241:Z241)</f>
        <v>0</v>
      </c>
      <c r="AB241" s="60"/>
      <c r="AC241" s="60"/>
      <c r="AD241" s="60"/>
      <c r="AE241" s="61">
        <f>SUM(AB241:AD241)</f>
        <v>0</v>
      </c>
      <c r="AF241" s="62">
        <f t="shared" si="45"/>
        <v>0</v>
      </c>
    </row>
    <row r="242" spans="1:32" hidden="1" x14ac:dyDescent="0.35">
      <c r="A242" s="111" t="s">
        <v>318</v>
      </c>
      <c r="C242" s="63" t="s">
        <v>227</v>
      </c>
      <c r="D242" s="63">
        <v>1</v>
      </c>
      <c r="E242" s="63"/>
      <c r="F242" s="63"/>
      <c r="G242" s="61">
        <f>SUM(D242:F242)</f>
        <v>1</v>
      </c>
      <c r="H242" s="63"/>
      <c r="I242" s="63"/>
      <c r="J242" s="63"/>
      <c r="K242" s="61">
        <f>SUM(H242:J242)</f>
        <v>0</v>
      </c>
      <c r="L242" s="63"/>
      <c r="M242" s="63"/>
      <c r="N242" s="63"/>
      <c r="O242" s="61">
        <f>SUM(L242:N242)</f>
        <v>0</v>
      </c>
      <c r="P242" s="63"/>
      <c r="Q242" s="63"/>
      <c r="R242" s="63"/>
      <c r="S242" s="61">
        <f>SUM(P242:R242)</f>
        <v>0</v>
      </c>
      <c r="T242" s="63"/>
      <c r="U242" s="63"/>
      <c r="V242" s="63"/>
      <c r="W242" s="61">
        <f>SUM(T242:V242)</f>
        <v>0</v>
      </c>
      <c r="X242" s="63"/>
      <c r="Y242" s="63"/>
      <c r="Z242" s="63"/>
      <c r="AA242" s="61">
        <f>SUM(X242:Z242)</f>
        <v>0</v>
      </c>
      <c r="AB242" s="63"/>
      <c r="AC242" s="63"/>
      <c r="AD242" s="63"/>
      <c r="AE242" s="61">
        <f>SUM(AB242:AD242)</f>
        <v>0</v>
      </c>
      <c r="AF242" s="64">
        <f t="shared" si="45"/>
        <v>1</v>
      </c>
    </row>
    <row r="243" spans="1:32" hidden="1" x14ac:dyDescent="0.35">
      <c r="A243" s="111"/>
      <c r="C243" s="60" t="s">
        <v>228</v>
      </c>
      <c r="D243" s="60">
        <v>2</v>
      </c>
      <c r="E243" s="60"/>
      <c r="F243" s="60"/>
      <c r="G243" s="61">
        <f>SUM(D243:F243)</f>
        <v>2</v>
      </c>
      <c r="H243" s="60"/>
      <c r="I243" s="60"/>
      <c r="J243" s="60"/>
      <c r="K243" s="61">
        <f>SUM(H243:J243)</f>
        <v>0</v>
      </c>
      <c r="L243" s="60"/>
      <c r="M243" s="60"/>
      <c r="N243" s="60"/>
      <c r="O243" s="61">
        <f>SUM(L243:N243)</f>
        <v>0</v>
      </c>
      <c r="P243" s="60"/>
      <c r="Q243" s="60"/>
      <c r="R243" s="60"/>
      <c r="S243" s="61">
        <f>SUM(P243:R243)</f>
        <v>0</v>
      </c>
      <c r="T243" s="60"/>
      <c r="U243" s="60"/>
      <c r="V243" s="60"/>
      <c r="W243" s="61">
        <f>SUM(T243:V243)</f>
        <v>0</v>
      </c>
      <c r="X243" s="60"/>
      <c r="Y243" s="60"/>
      <c r="Z243" s="60"/>
      <c r="AA243" s="61">
        <f>SUM(X243:Z243)</f>
        <v>0</v>
      </c>
      <c r="AB243" s="60"/>
      <c r="AC243" s="60"/>
      <c r="AD243" s="60"/>
      <c r="AE243" s="61">
        <f>SUM(AB243:AD243)</f>
        <v>0</v>
      </c>
      <c r="AF243" s="65">
        <f t="shared" si="45"/>
        <v>2</v>
      </c>
    </row>
    <row r="244" spans="1:32" hidden="1" x14ac:dyDescent="0.35">
      <c r="A244" s="111"/>
      <c r="C244" s="63" t="s">
        <v>235</v>
      </c>
      <c r="D244" s="63"/>
      <c r="E244" s="63"/>
      <c r="F244" s="63"/>
      <c r="G244" s="61">
        <f>SUM(D244:F244)</f>
        <v>0</v>
      </c>
      <c r="H244" s="63"/>
      <c r="I244" s="63"/>
      <c r="J244" s="63"/>
      <c r="K244" s="61">
        <f>SUM(H244:J244)</f>
        <v>0</v>
      </c>
      <c r="L244" s="63"/>
      <c r="M244" s="63"/>
      <c r="N244" s="63"/>
      <c r="O244" s="61">
        <f>SUM(L244:N244)</f>
        <v>0</v>
      </c>
      <c r="P244" s="63"/>
      <c r="Q244" s="63"/>
      <c r="R244" s="63"/>
      <c r="S244" s="61">
        <f>SUM(P244:R244)</f>
        <v>0</v>
      </c>
      <c r="T244" s="63"/>
      <c r="U244" s="63"/>
      <c r="V244" s="63"/>
      <c r="W244" s="61">
        <f>SUM(T244:V244)</f>
        <v>0</v>
      </c>
      <c r="X244" s="63"/>
      <c r="Y244" s="63"/>
      <c r="Z244" s="63"/>
      <c r="AA244" s="61">
        <f>SUM(X244:Z244)</f>
        <v>0</v>
      </c>
      <c r="AB244" s="63"/>
      <c r="AC244" s="63"/>
      <c r="AD244" s="63"/>
      <c r="AE244" s="61">
        <f>SUM(AB244:AD244)</f>
        <v>0</v>
      </c>
      <c r="AF244" s="63">
        <f t="shared" si="45"/>
        <v>0</v>
      </c>
    </row>
    <row r="245" spans="1:32" x14ac:dyDescent="0.35">
      <c r="A245" s="66" t="s">
        <v>317</v>
      </c>
      <c r="B245" s="67">
        <v>24</v>
      </c>
      <c r="C245" s="66"/>
      <c r="D245" s="66">
        <f t="shared" ref="D245:AE245" si="56">SUM(D241:D244)</f>
        <v>3</v>
      </c>
      <c r="E245" s="66">
        <f t="shared" si="56"/>
        <v>0</v>
      </c>
      <c r="F245" s="66">
        <f t="shared" si="56"/>
        <v>0</v>
      </c>
      <c r="G245" s="61">
        <f t="shared" si="56"/>
        <v>3</v>
      </c>
      <c r="H245" s="66">
        <f t="shared" si="56"/>
        <v>0</v>
      </c>
      <c r="I245" s="66">
        <f t="shared" si="56"/>
        <v>0</v>
      </c>
      <c r="J245" s="66">
        <f t="shared" si="56"/>
        <v>0</v>
      </c>
      <c r="K245" s="61">
        <f t="shared" si="56"/>
        <v>0</v>
      </c>
      <c r="L245" s="66">
        <f t="shared" si="56"/>
        <v>0</v>
      </c>
      <c r="M245" s="66">
        <f t="shared" si="56"/>
        <v>0</v>
      </c>
      <c r="N245" s="66">
        <f t="shared" si="56"/>
        <v>0</v>
      </c>
      <c r="O245" s="61">
        <f t="shared" si="56"/>
        <v>0</v>
      </c>
      <c r="P245" s="66">
        <f t="shared" si="56"/>
        <v>0</v>
      </c>
      <c r="Q245" s="66">
        <f t="shared" si="56"/>
        <v>0</v>
      </c>
      <c r="R245" s="66">
        <f t="shared" si="56"/>
        <v>0</v>
      </c>
      <c r="S245" s="61">
        <f t="shared" si="56"/>
        <v>0</v>
      </c>
      <c r="T245" s="66">
        <f t="shared" si="56"/>
        <v>0</v>
      </c>
      <c r="U245" s="66">
        <f t="shared" si="56"/>
        <v>0</v>
      </c>
      <c r="V245" s="66">
        <f t="shared" si="56"/>
        <v>0</v>
      </c>
      <c r="W245" s="61">
        <f t="shared" si="56"/>
        <v>0</v>
      </c>
      <c r="X245" s="66">
        <f t="shared" si="56"/>
        <v>0</v>
      </c>
      <c r="Y245" s="66">
        <f t="shared" si="56"/>
        <v>0</v>
      </c>
      <c r="Z245" s="66">
        <f t="shared" si="56"/>
        <v>0</v>
      </c>
      <c r="AA245" s="61">
        <f t="shared" si="56"/>
        <v>0</v>
      </c>
      <c r="AB245" s="66">
        <f t="shared" si="56"/>
        <v>0</v>
      </c>
      <c r="AC245" s="66">
        <f t="shared" si="56"/>
        <v>0</v>
      </c>
      <c r="AD245" s="66">
        <f t="shared" si="56"/>
        <v>0</v>
      </c>
      <c r="AE245" s="61">
        <f t="shared" si="56"/>
        <v>0</v>
      </c>
      <c r="AF245" s="68">
        <f t="shared" si="45"/>
        <v>3</v>
      </c>
    </row>
    <row r="246" spans="1:32" hidden="1" x14ac:dyDescent="0.35">
      <c r="A246" s="59" t="s">
        <v>319</v>
      </c>
      <c r="B246" s="54">
        <v>2</v>
      </c>
      <c r="C246" s="60" t="s">
        <v>225</v>
      </c>
      <c r="D246" s="60"/>
      <c r="E246" s="60"/>
      <c r="F246" s="60"/>
      <c r="G246" s="61">
        <f>SUM(D246:F246)</f>
        <v>0</v>
      </c>
      <c r="H246" s="60"/>
      <c r="I246" s="60"/>
      <c r="J246" s="60"/>
      <c r="K246" s="61">
        <f>SUM(H246:J246)</f>
        <v>0</v>
      </c>
      <c r="L246" s="60"/>
      <c r="M246" s="60"/>
      <c r="N246" s="60"/>
      <c r="O246" s="61">
        <f>SUM(L246:N246)</f>
        <v>0</v>
      </c>
      <c r="P246" s="60"/>
      <c r="Q246" s="60"/>
      <c r="R246" s="60"/>
      <c r="S246" s="61">
        <f>SUM(P246:R246)</f>
        <v>0</v>
      </c>
      <c r="T246" s="60"/>
      <c r="U246" s="60"/>
      <c r="V246" s="60"/>
      <c r="W246" s="61">
        <f>SUM(T246:V246)</f>
        <v>0</v>
      </c>
      <c r="X246" s="60"/>
      <c r="Y246" s="60"/>
      <c r="Z246" s="60"/>
      <c r="AA246" s="61">
        <f>SUM(X246:Z246)</f>
        <v>0</v>
      </c>
      <c r="AB246" s="60"/>
      <c r="AC246" s="60"/>
      <c r="AD246" s="60"/>
      <c r="AE246" s="61">
        <f>SUM(AB246:AD246)</f>
        <v>0</v>
      </c>
      <c r="AF246" s="62">
        <f t="shared" si="45"/>
        <v>0</v>
      </c>
    </row>
    <row r="247" spans="1:32" hidden="1" x14ac:dyDescent="0.35">
      <c r="A247" s="111" t="s">
        <v>320</v>
      </c>
      <c r="C247" s="63" t="s">
        <v>227</v>
      </c>
      <c r="D247" s="63"/>
      <c r="E247" s="63"/>
      <c r="F247" s="63"/>
      <c r="G247" s="61">
        <f>SUM(D247:F247)</f>
        <v>0</v>
      </c>
      <c r="H247" s="63"/>
      <c r="I247" s="63"/>
      <c r="J247" s="63"/>
      <c r="K247" s="61">
        <f>SUM(H247:J247)</f>
        <v>0</v>
      </c>
      <c r="L247" s="63"/>
      <c r="M247" s="63"/>
      <c r="N247" s="63"/>
      <c r="O247" s="61">
        <f>SUM(L247:N247)</f>
        <v>0</v>
      </c>
      <c r="P247" s="63"/>
      <c r="Q247" s="63"/>
      <c r="R247" s="63"/>
      <c r="S247" s="61">
        <f>SUM(P247:R247)</f>
        <v>0</v>
      </c>
      <c r="T247" s="63"/>
      <c r="U247" s="63"/>
      <c r="V247" s="63"/>
      <c r="W247" s="61">
        <f>SUM(T247:V247)</f>
        <v>0</v>
      </c>
      <c r="X247" s="63"/>
      <c r="Y247" s="63"/>
      <c r="Z247" s="63"/>
      <c r="AA247" s="61">
        <f>SUM(X247:Z247)</f>
        <v>0</v>
      </c>
      <c r="AB247" s="63"/>
      <c r="AC247" s="63"/>
      <c r="AD247" s="63"/>
      <c r="AE247" s="61">
        <f>SUM(AB247:AD247)</f>
        <v>0</v>
      </c>
      <c r="AF247" s="64">
        <f t="shared" si="45"/>
        <v>0</v>
      </c>
    </row>
    <row r="248" spans="1:32" hidden="1" x14ac:dyDescent="0.35">
      <c r="A248" s="111"/>
      <c r="C248" s="60" t="s">
        <v>228</v>
      </c>
      <c r="D248" s="60"/>
      <c r="E248" s="60"/>
      <c r="F248" s="60"/>
      <c r="G248" s="61">
        <f>SUM(D248:F248)</f>
        <v>0</v>
      </c>
      <c r="H248" s="60"/>
      <c r="I248" s="60"/>
      <c r="J248" s="60"/>
      <c r="K248" s="61">
        <f>SUM(H248:J248)</f>
        <v>0</v>
      </c>
      <c r="L248" s="60"/>
      <c r="M248" s="60"/>
      <c r="N248" s="60"/>
      <c r="O248" s="61">
        <f>SUM(L248:N248)</f>
        <v>0</v>
      </c>
      <c r="P248" s="60"/>
      <c r="Q248" s="60"/>
      <c r="R248" s="60"/>
      <c r="S248" s="61">
        <f>SUM(P248:R248)</f>
        <v>0</v>
      </c>
      <c r="T248" s="60"/>
      <c r="U248" s="60"/>
      <c r="V248" s="60"/>
      <c r="W248" s="61">
        <f>SUM(T248:V248)</f>
        <v>0</v>
      </c>
      <c r="X248" s="60"/>
      <c r="Y248" s="60"/>
      <c r="Z248" s="60"/>
      <c r="AA248" s="61">
        <f>SUM(X248:Z248)</f>
        <v>0</v>
      </c>
      <c r="AB248" s="60"/>
      <c r="AC248" s="60"/>
      <c r="AD248" s="60"/>
      <c r="AE248" s="61">
        <f>SUM(AB248:AD248)</f>
        <v>0</v>
      </c>
      <c r="AF248" s="65">
        <f t="shared" si="45"/>
        <v>0</v>
      </c>
    </row>
    <row r="249" spans="1:32" hidden="1" x14ac:dyDescent="0.35">
      <c r="A249" s="111"/>
      <c r="C249" s="63" t="s">
        <v>235</v>
      </c>
      <c r="D249" s="63"/>
      <c r="E249" s="63"/>
      <c r="F249" s="63"/>
      <c r="G249" s="61">
        <f>SUM(D249:F249)</f>
        <v>0</v>
      </c>
      <c r="H249" s="63"/>
      <c r="I249" s="63"/>
      <c r="J249" s="63"/>
      <c r="K249" s="61">
        <f>SUM(H249:J249)</f>
        <v>0</v>
      </c>
      <c r="L249" s="63"/>
      <c r="M249" s="63"/>
      <c r="N249" s="63"/>
      <c r="O249" s="61">
        <f>SUM(L249:N249)</f>
        <v>0</v>
      </c>
      <c r="P249" s="63"/>
      <c r="Q249" s="63"/>
      <c r="R249" s="63"/>
      <c r="S249" s="61">
        <f>SUM(P249:R249)</f>
        <v>0</v>
      </c>
      <c r="T249" s="63"/>
      <c r="U249" s="63"/>
      <c r="V249" s="63"/>
      <c r="W249" s="61">
        <f>SUM(T249:V249)</f>
        <v>0</v>
      </c>
      <c r="X249" s="63"/>
      <c r="Y249" s="63"/>
      <c r="Z249" s="63"/>
      <c r="AA249" s="61">
        <f>SUM(X249:Z249)</f>
        <v>0</v>
      </c>
      <c r="AB249" s="63"/>
      <c r="AC249" s="63"/>
      <c r="AD249" s="63"/>
      <c r="AE249" s="61">
        <f>SUM(AB249:AD249)</f>
        <v>0</v>
      </c>
      <c r="AF249" s="63">
        <f t="shared" si="45"/>
        <v>0</v>
      </c>
    </row>
    <row r="250" spans="1:32" x14ac:dyDescent="0.35">
      <c r="A250" s="66" t="s">
        <v>319</v>
      </c>
      <c r="B250" s="67">
        <v>2</v>
      </c>
      <c r="C250" s="66"/>
      <c r="D250" s="66">
        <f t="shared" ref="D250:AE250" si="57">SUM(D246:D249)</f>
        <v>0</v>
      </c>
      <c r="E250" s="66">
        <f t="shared" si="57"/>
        <v>0</v>
      </c>
      <c r="F250" s="66">
        <f t="shared" si="57"/>
        <v>0</v>
      </c>
      <c r="G250" s="61">
        <f t="shared" si="57"/>
        <v>0</v>
      </c>
      <c r="H250" s="66">
        <f t="shared" si="57"/>
        <v>0</v>
      </c>
      <c r="I250" s="66">
        <f t="shared" si="57"/>
        <v>0</v>
      </c>
      <c r="J250" s="66">
        <f t="shared" si="57"/>
        <v>0</v>
      </c>
      <c r="K250" s="61">
        <f t="shared" si="57"/>
        <v>0</v>
      </c>
      <c r="L250" s="66">
        <f t="shared" si="57"/>
        <v>0</v>
      </c>
      <c r="M250" s="66">
        <f t="shared" si="57"/>
        <v>0</v>
      </c>
      <c r="N250" s="66">
        <f t="shared" si="57"/>
        <v>0</v>
      </c>
      <c r="O250" s="61">
        <f t="shared" si="57"/>
        <v>0</v>
      </c>
      <c r="P250" s="66">
        <f t="shared" si="57"/>
        <v>0</v>
      </c>
      <c r="Q250" s="66">
        <f t="shared" si="57"/>
        <v>0</v>
      </c>
      <c r="R250" s="66">
        <f t="shared" si="57"/>
        <v>0</v>
      </c>
      <c r="S250" s="61">
        <f t="shared" si="57"/>
        <v>0</v>
      </c>
      <c r="T250" s="66">
        <f t="shared" si="57"/>
        <v>0</v>
      </c>
      <c r="U250" s="66">
        <f t="shared" si="57"/>
        <v>0</v>
      </c>
      <c r="V250" s="66">
        <f t="shared" si="57"/>
        <v>0</v>
      </c>
      <c r="W250" s="61">
        <f t="shared" si="57"/>
        <v>0</v>
      </c>
      <c r="X250" s="66">
        <f t="shared" si="57"/>
        <v>0</v>
      </c>
      <c r="Y250" s="66">
        <f t="shared" si="57"/>
        <v>0</v>
      </c>
      <c r="Z250" s="66">
        <f t="shared" si="57"/>
        <v>0</v>
      </c>
      <c r="AA250" s="61">
        <f t="shared" si="57"/>
        <v>0</v>
      </c>
      <c r="AB250" s="66">
        <f t="shared" si="57"/>
        <v>0</v>
      </c>
      <c r="AC250" s="66">
        <f t="shared" si="57"/>
        <v>0</v>
      </c>
      <c r="AD250" s="66">
        <f t="shared" si="57"/>
        <v>0</v>
      </c>
      <c r="AE250" s="61">
        <f t="shared" si="57"/>
        <v>0</v>
      </c>
      <c r="AF250" s="68">
        <f t="shared" si="45"/>
        <v>0</v>
      </c>
    </row>
    <row r="251" spans="1:32" hidden="1" x14ac:dyDescent="0.35">
      <c r="A251" s="59" t="s">
        <v>321</v>
      </c>
      <c r="B251" s="54" t="s">
        <v>322</v>
      </c>
      <c r="C251" s="60" t="s">
        <v>225</v>
      </c>
      <c r="D251" s="60"/>
      <c r="E251" s="60"/>
      <c r="F251" s="60"/>
      <c r="G251" s="61">
        <f>SUM(D251:F251)</f>
        <v>0</v>
      </c>
      <c r="H251" s="60"/>
      <c r="I251" s="60"/>
      <c r="J251" s="60"/>
      <c r="K251" s="61">
        <f>SUM(H251:J251)</f>
        <v>0</v>
      </c>
      <c r="L251" s="60"/>
      <c r="M251" s="60"/>
      <c r="N251" s="60"/>
      <c r="O251" s="61">
        <f>SUM(L251:N251)</f>
        <v>0</v>
      </c>
      <c r="P251" s="60"/>
      <c r="Q251" s="60"/>
      <c r="R251" s="60"/>
      <c r="S251" s="61">
        <f>SUM(P251:R251)</f>
        <v>0</v>
      </c>
      <c r="T251" s="60"/>
      <c r="U251" s="60"/>
      <c r="V251" s="60"/>
      <c r="W251" s="61">
        <f>SUM(T251:V251)</f>
        <v>0</v>
      </c>
      <c r="X251" s="60"/>
      <c r="Y251" s="60"/>
      <c r="Z251" s="60"/>
      <c r="AA251" s="61">
        <f>SUM(X251:Z251)</f>
        <v>0</v>
      </c>
      <c r="AB251" s="60"/>
      <c r="AC251" s="60"/>
      <c r="AD251" s="60"/>
      <c r="AE251" s="61">
        <f>SUM(AB251:AD251)</f>
        <v>0</v>
      </c>
      <c r="AF251" s="62">
        <f t="shared" si="45"/>
        <v>0</v>
      </c>
    </row>
    <row r="252" spans="1:32" hidden="1" x14ac:dyDescent="0.35">
      <c r="A252" s="111" t="s">
        <v>323</v>
      </c>
      <c r="C252" s="63" t="s">
        <v>227</v>
      </c>
      <c r="D252" s="63"/>
      <c r="E252" s="63"/>
      <c r="F252" s="63"/>
      <c r="G252" s="61">
        <f>SUM(D252:F252)</f>
        <v>0</v>
      </c>
      <c r="H252" s="63"/>
      <c r="I252" s="63"/>
      <c r="J252" s="63"/>
      <c r="K252" s="61">
        <f>SUM(H252:J252)</f>
        <v>0</v>
      </c>
      <c r="L252" s="63"/>
      <c r="M252" s="63"/>
      <c r="N252" s="63"/>
      <c r="O252" s="61">
        <f>SUM(L252:N252)</f>
        <v>0</v>
      </c>
      <c r="P252" s="63"/>
      <c r="Q252" s="63"/>
      <c r="R252" s="63"/>
      <c r="S252" s="61">
        <f>SUM(P252:R252)</f>
        <v>0</v>
      </c>
      <c r="T252" s="63"/>
      <c r="U252" s="63"/>
      <c r="V252" s="63"/>
      <c r="W252" s="61">
        <f>SUM(T252:V252)</f>
        <v>0</v>
      </c>
      <c r="X252" s="63"/>
      <c r="Y252" s="63"/>
      <c r="Z252" s="63"/>
      <c r="AA252" s="61">
        <f>SUM(X252:Z252)</f>
        <v>0</v>
      </c>
      <c r="AB252" s="63">
        <v>3</v>
      </c>
      <c r="AC252" s="63"/>
      <c r="AD252" s="63"/>
      <c r="AE252" s="61">
        <f>SUM(AB252:AD252)</f>
        <v>3</v>
      </c>
      <c r="AF252" s="64">
        <f t="shared" si="45"/>
        <v>3</v>
      </c>
    </row>
    <row r="253" spans="1:32" hidden="1" x14ac:dyDescent="0.35">
      <c r="A253" s="111"/>
      <c r="C253" s="60" t="s">
        <v>228</v>
      </c>
      <c r="D253" s="60"/>
      <c r="E253" s="60"/>
      <c r="F253" s="60"/>
      <c r="G253" s="61">
        <f>SUM(D253:F253)</f>
        <v>0</v>
      </c>
      <c r="H253" s="60"/>
      <c r="I253" s="60"/>
      <c r="J253" s="60"/>
      <c r="K253" s="61">
        <f>SUM(H253:J253)</f>
        <v>0</v>
      </c>
      <c r="L253" s="60"/>
      <c r="M253" s="60"/>
      <c r="N253" s="60"/>
      <c r="O253" s="61">
        <f>SUM(L253:N253)</f>
        <v>0</v>
      </c>
      <c r="P253" s="60"/>
      <c r="Q253" s="60"/>
      <c r="R253" s="60"/>
      <c r="S253" s="61">
        <f>SUM(P253:R253)</f>
        <v>0</v>
      </c>
      <c r="T253" s="60"/>
      <c r="U253" s="60"/>
      <c r="V253" s="60"/>
      <c r="W253" s="61">
        <f>SUM(T253:V253)</f>
        <v>0</v>
      </c>
      <c r="X253" s="60"/>
      <c r="Y253" s="60"/>
      <c r="Z253" s="60"/>
      <c r="AA253" s="61">
        <f>SUM(X253:Z253)</f>
        <v>0</v>
      </c>
      <c r="AB253" s="60">
        <v>3</v>
      </c>
      <c r="AC253" s="60"/>
      <c r="AD253" s="60"/>
      <c r="AE253" s="61">
        <f>SUM(AB253:AD253)</f>
        <v>3</v>
      </c>
      <c r="AF253" s="65">
        <f t="shared" si="45"/>
        <v>3</v>
      </c>
    </row>
    <row r="254" spans="1:32" hidden="1" x14ac:dyDescent="0.35">
      <c r="A254" s="111"/>
      <c r="C254" s="63" t="s">
        <v>235</v>
      </c>
      <c r="D254" s="63"/>
      <c r="E254" s="63"/>
      <c r="F254" s="63"/>
      <c r="G254" s="61">
        <f>SUM(D254:F254)</f>
        <v>0</v>
      </c>
      <c r="H254" s="63"/>
      <c r="I254" s="63"/>
      <c r="J254" s="63"/>
      <c r="K254" s="61">
        <f>SUM(H254:J254)</f>
        <v>0</v>
      </c>
      <c r="L254" s="63"/>
      <c r="M254" s="63"/>
      <c r="N254" s="63"/>
      <c r="O254" s="61">
        <f>SUM(L254:N254)</f>
        <v>0</v>
      </c>
      <c r="P254" s="63"/>
      <c r="Q254" s="63"/>
      <c r="R254" s="63"/>
      <c r="S254" s="61">
        <f>SUM(P254:R254)</f>
        <v>0</v>
      </c>
      <c r="T254" s="63"/>
      <c r="U254" s="63"/>
      <c r="V254" s="63"/>
      <c r="W254" s="61">
        <f>SUM(T254:V254)</f>
        <v>0</v>
      </c>
      <c r="X254" s="63"/>
      <c r="Y254" s="63"/>
      <c r="Z254" s="63"/>
      <c r="AA254" s="61">
        <f>SUM(X254:Z254)</f>
        <v>0</v>
      </c>
      <c r="AB254" s="63">
        <v>2</v>
      </c>
      <c r="AC254" s="63"/>
      <c r="AD254" s="63"/>
      <c r="AE254" s="61">
        <f>SUM(AB254:AD254)</f>
        <v>2</v>
      </c>
      <c r="AF254" s="63">
        <f t="shared" si="45"/>
        <v>2</v>
      </c>
    </row>
    <row r="255" spans="1:32" x14ac:dyDescent="0.35">
      <c r="A255" s="66" t="s">
        <v>321</v>
      </c>
      <c r="B255" s="67" t="s">
        <v>322</v>
      </c>
      <c r="C255" s="66"/>
      <c r="D255" s="66">
        <f t="shared" ref="D255:AE255" si="58">SUM(D251:D254)</f>
        <v>0</v>
      </c>
      <c r="E255" s="66">
        <f t="shared" si="58"/>
        <v>0</v>
      </c>
      <c r="F255" s="66">
        <f t="shared" si="58"/>
        <v>0</v>
      </c>
      <c r="G255" s="61">
        <f t="shared" si="58"/>
        <v>0</v>
      </c>
      <c r="H255" s="66">
        <f t="shared" si="58"/>
        <v>0</v>
      </c>
      <c r="I255" s="66">
        <f t="shared" si="58"/>
        <v>0</v>
      </c>
      <c r="J255" s="66">
        <f t="shared" si="58"/>
        <v>0</v>
      </c>
      <c r="K255" s="61">
        <f t="shared" si="58"/>
        <v>0</v>
      </c>
      <c r="L255" s="66">
        <f t="shared" si="58"/>
        <v>0</v>
      </c>
      <c r="M255" s="66">
        <f t="shared" si="58"/>
        <v>0</v>
      </c>
      <c r="N255" s="66">
        <f t="shared" si="58"/>
        <v>0</v>
      </c>
      <c r="O255" s="61">
        <f t="shared" si="58"/>
        <v>0</v>
      </c>
      <c r="P255" s="66">
        <f t="shared" si="58"/>
        <v>0</v>
      </c>
      <c r="Q255" s="66">
        <f t="shared" si="58"/>
        <v>0</v>
      </c>
      <c r="R255" s="66">
        <f t="shared" si="58"/>
        <v>0</v>
      </c>
      <c r="S255" s="61">
        <f t="shared" si="58"/>
        <v>0</v>
      </c>
      <c r="T255" s="66">
        <f t="shared" si="58"/>
        <v>0</v>
      </c>
      <c r="U255" s="66">
        <f t="shared" si="58"/>
        <v>0</v>
      </c>
      <c r="V255" s="66">
        <f t="shared" si="58"/>
        <v>0</v>
      </c>
      <c r="W255" s="61">
        <f t="shared" si="58"/>
        <v>0</v>
      </c>
      <c r="X255" s="66">
        <f t="shared" si="58"/>
        <v>0</v>
      </c>
      <c r="Y255" s="66">
        <f t="shared" si="58"/>
        <v>0</v>
      </c>
      <c r="Z255" s="66">
        <f t="shared" si="58"/>
        <v>0</v>
      </c>
      <c r="AA255" s="61">
        <f t="shared" si="58"/>
        <v>0</v>
      </c>
      <c r="AB255" s="66">
        <f t="shared" si="58"/>
        <v>8</v>
      </c>
      <c r="AC255" s="66">
        <f t="shared" si="58"/>
        <v>0</v>
      </c>
      <c r="AD255" s="66">
        <f t="shared" si="58"/>
        <v>0</v>
      </c>
      <c r="AE255" s="61">
        <f t="shared" si="58"/>
        <v>8</v>
      </c>
      <c r="AF255" s="68">
        <f t="shared" si="45"/>
        <v>8</v>
      </c>
    </row>
    <row r="256" spans="1:32" hidden="1" x14ac:dyDescent="0.35">
      <c r="A256" s="59" t="s">
        <v>324</v>
      </c>
      <c r="B256" s="54">
        <v>26</v>
      </c>
      <c r="C256" s="60" t="s">
        <v>225</v>
      </c>
      <c r="D256" s="60">
        <v>4</v>
      </c>
      <c r="E256" s="60"/>
      <c r="F256" s="60"/>
      <c r="G256" s="61">
        <f>SUM(D256:F256)</f>
        <v>4</v>
      </c>
      <c r="H256" s="60"/>
      <c r="I256" s="60"/>
      <c r="J256" s="60"/>
      <c r="K256" s="61">
        <f>SUM(H256:J256)</f>
        <v>0</v>
      </c>
      <c r="L256" s="60">
        <v>2</v>
      </c>
      <c r="M256" s="60"/>
      <c r="N256" s="60"/>
      <c r="O256" s="61">
        <f>SUM(L256:N256)</f>
        <v>2</v>
      </c>
      <c r="P256" s="60">
        <v>1</v>
      </c>
      <c r="Q256" s="60"/>
      <c r="R256" s="60"/>
      <c r="S256" s="61">
        <f>SUM(P256:R256)</f>
        <v>1</v>
      </c>
      <c r="T256" s="60"/>
      <c r="U256" s="60"/>
      <c r="V256" s="60"/>
      <c r="W256" s="61">
        <f>SUM(T256:V256)</f>
        <v>0</v>
      </c>
      <c r="X256" s="60">
        <v>1</v>
      </c>
      <c r="Y256" s="60"/>
      <c r="Z256" s="60"/>
      <c r="AA256" s="61">
        <f>SUM(X256:Z256)</f>
        <v>1</v>
      </c>
      <c r="AB256" s="60"/>
      <c r="AC256" s="60"/>
      <c r="AD256" s="60"/>
      <c r="AE256" s="61">
        <f>SUM(AB256:AD256)</f>
        <v>0</v>
      </c>
      <c r="AF256" s="62">
        <f t="shared" si="45"/>
        <v>8</v>
      </c>
    </row>
    <row r="257" spans="1:32" hidden="1" x14ac:dyDescent="0.35">
      <c r="A257" s="111" t="s">
        <v>267</v>
      </c>
      <c r="C257" s="63" t="s">
        <v>227</v>
      </c>
      <c r="D257" s="63">
        <v>5</v>
      </c>
      <c r="E257" s="63"/>
      <c r="F257" s="63"/>
      <c r="G257" s="61">
        <f>SUM(D257:F257)</f>
        <v>5</v>
      </c>
      <c r="H257" s="63"/>
      <c r="I257" s="63"/>
      <c r="J257" s="63"/>
      <c r="K257" s="61">
        <f>SUM(H257:J257)</f>
        <v>0</v>
      </c>
      <c r="L257" s="63">
        <v>1</v>
      </c>
      <c r="M257" s="63"/>
      <c r="N257" s="63"/>
      <c r="O257" s="61">
        <f>SUM(L257:N257)</f>
        <v>1</v>
      </c>
      <c r="P257" s="63">
        <v>1</v>
      </c>
      <c r="Q257" s="63"/>
      <c r="R257" s="63"/>
      <c r="S257" s="61">
        <f>SUM(P257:R257)</f>
        <v>1</v>
      </c>
      <c r="T257" s="63"/>
      <c r="U257" s="63"/>
      <c r="V257" s="63"/>
      <c r="W257" s="61">
        <f>SUM(T257:V257)</f>
        <v>0</v>
      </c>
      <c r="X257" s="63">
        <v>2</v>
      </c>
      <c r="Y257" s="63"/>
      <c r="Z257" s="63"/>
      <c r="AA257" s="61">
        <f>SUM(X257:Z257)</f>
        <v>2</v>
      </c>
      <c r="AB257" s="63"/>
      <c r="AC257" s="63"/>
      <c r="AD257" s="63"/>
      <c r="AE257" s="61">
        <f>SUM(AB257:AD257)</f>
        <v>0</v>
      </c>
      <c r="AF257" s="64">
        <f t="shared" si="45"/>
        <v>9</v>
      </c>
    </row>
    <row r="258" spans="1:32" hidden="1" x14ac:dyDescent="0.35">
      <c r="A258" s="111"/>
      <c r="C258" s="60" t="s">
        <v>228</v>
      </c>
      <c r="D258" s="60">
        <v>3</v>
      </c>
      <c r="E258" s="60"/>
      <c r="F258" s="60"/>
      <c r="G258" s="61">
        <f>SUM(D258:F258)</f>
        <v>3</v>
      </c>
      <c r="H258" s="60"/>
      <c r="I258" s="60"/>
      <c r="J258" s="60"/>
      <c r="K258" s="61">
        <f>SUM(H258:J258)</f>
        <v>0</v>
      </c>
      <c r="L258" s="60"/>
      <c r="M258" s="60"/>
      <c r="N258" s="60"/>
      <c r="O258" s="61">
        <f>SUM(L258:N258)</f>
        <v>0</v>
      </c>
      <c r="P258" s="60">
        <v>1</v>
      </c>
      <c r="Q258" s="60"/>
      <c r="R258" s="60"/>
      <c r="S258" s="61">
        <f>SUM(P258:R258)</f>
        <v>1</v>
      </c>
      <c r="T258" s="60"/>
      <c r="U258" s="60"/>
      <c r="V258" s="60"/>
      <c r="W258" s="61">
        <f>SUM(T258:V258)</f>
        <v>0</v>
      </c>
      <c r="X258" s="60"/>
      <c r="Y258" s="60"/>
      <c r="Z258" s="60"/>
      <c r="AA258" s="61">
        <f>SUM(X258:Z258)</f>
        <v>0</v>
      </c>
      <c r="AB258" s="60"/>
      <c r="AC258" s="60"/>
      <c r="AD258" s="60"/>
      <c r="AE258" s="61">
        <f>SUM(AB258:AD258)</f>
        <v>0</v>
      </c>
      <c r="AF258" s="65">
        <f t="shared" si="45"/>
        <v>4</v>
      </c>
    </row>
    <row r="259" spans="1:32" hidden="1" x14ac:dyDescent="0.35">
      <c r="A259" s="111"/>
      <c r="C259" s="63" t="s">
        <v>235</v>
      </c>
      <c r="D259" s="63">
        <v>6</v>
      </c>
      <c r="E259" s="63"/>
      <c r="F259" s="63"/>
      <c r="G259" s="61">
        <f>SUM(D259:F259)</f>
        <v>6</v>
      </c>
      <c r="H259" s="63"/>
      <c r="I259" s="63"/>
      <c r="J259" s="63"/>
      <c r="K259" s="61">
        <f>SUM(H259:J259)</f>
        <v>0</v>
      </c>
      <c r="L259" s="63"/>
      <c r="M259" s="63"/>
      <c r="N259" s="63"/>
      <c r="O259" s="61">
        <f>SUM(L259:N259)</f>
        <v>0</v>
      </c>
      <c r="P259" s="63">
        <v>1</v>
      </c>
      <c r="Q259" s="63"/>
      <c r="R259" s="63"/>
      <c r="S259" s="61">
        <f>SUM(P259:R259)</f>
        <v>1</v>
      </c>
      <c r="T259" s="63"/>
      <c r="U259" s="63"/>
      <c r="V259" s="63"/>
      <c r="W259" s="61">
        <f>SUM(T259:V259)</f>
        <v>0</v>
      </c>
      <c r="X259" s="63">
        <v>1</v>
      </c>
      <c r="Y259" s="63"/>
      <c r="Z259" s="63"/>
      <c r="AA259" s="61">
        <f>SUM(X259:Z259)</f>
        <v>1</v>
      </c>
      <c r="AB259" s="63"/>
      <c r="AC259" s="63"/>
      <c r="AD259" s="63"/>
      <c r="AE259" s="61">
        <f>SUM(AB259:AD259)</f>
        <v>0</v>
      </c>
      <c r="AF259" s="63">
        <f t="shared" si="45"/>
        <v>8</v>
      </c>
    </row>
    <row r="260" spans="1:32" hidden="1" x14ac:dyDescent="0.35">
      <c r="A260" s="66" t="s">
        <v>267</v>
      </c>
      <c r="B260" s="67"/>
      <c r="C260" s="66"/>
      <c r="D260" s="66">
        <f t="shared" ref="D260:AE260" si="59">SUM(D256:D259)</f>
        <v>18</v>
      </c>
      <c r="E260" s="66">
        <f t="shared" si="59"/>
        <v>0</v>
      </c>
      <c r="F260" s="66">
        <f t="shared" si="59"/>
        <v>0</v>
      </c>
      <c r="G260" s="61">
        <f t="shared" si="59"/>
        <v>18</v>
      </c>
      <c r="H260" s="66">
        <f t="shared" si="59"/>
        <v>0</v>
      </c>
      <c r="I260" s="66">
        <f t="shared" si="59"/>
        <v>0</v>
      </c>
      <c r="J260" s="66">
        <f t="shared" si="59"/>
        <v>0</v>
      </c>
      <c r="K260" s="61">
        <f t="shared" si="59"/>
        <v>0</v>
      </c>
      <c r="L260" s="66">
        <f t="shared" si="59"/>
        <v>3</v>
      </c>
      <c r="M260" s="66">
        <f t="shared" si="59"/>
        <v>0</v>
      </c>
      <c r="N260" s="66">
        <f t="shared" si="59"/>
        <v>0</v>
      </c>
      <c r="O260" s="61">
        <f t="shared" si="59"/>
        <v>3</v>
      </c>
      <c r="P260" s="66">
        <f t="shared" si="59"/>
        <v>4</v>
      </c>
      <c r="Q260" s="66">
        <f t="shared" si="59"/>
        <v>0</v>
      </c>
      <c r="R260" s="66">
        <f t="shared" si="59"/>
        <v>0</v>
      </c>
      <c r="S260" s="61">
        <f t="shared" si="59"/>
        <v>4</v>
      </c>
      <c r="T260" s="66">
        <f t="shared" si="59"/>
        <v>0</v>
      </c>
      <c r="U260" s="66">
        <f t="shared" si="59"/>
        <v>0</v>
      </c>
      <c r="V260" s="66">
        <f t="shared" si="59"/>
        <v>0</v>
      </c>
      <c r="W260" s="61">
        <f t="shared" si="59"/>
        <v>0</v>
      </c>
      <c r="X260" s="66">
        <f t="shared" si="59"/>
        <v>4</v>
      </c>
      <c r="Y260" s="66">
        <f t="shared" si="59"/>
        <v>0</v>
      </c>
      <c r="Z260" s="66">
        <f t="shared" si="59"/>
        <v>0</v>
      </c>
      <c r="AA260" s="61">
        <f t="shared" si="59"/>
        <v>4</v>
      </c>
      <c r="AB260" s="66">
        <f t="shared" si="59"/>
        <v>0</v>
      </c>
      <c r="AC260" s="66">
        <f t="shared" si="59"/>
        <v>0</v>
      </c>
      <c r="AD260" s="66">
        <f t="shared" si="59"/>
        <v>0</v>
      </c>
      <c r="AE260" s="61">
        <f t="shared" si="59"/>
        <v>0</v>
      </c>
      <c r="AF260" s="68">
        <f t="shared" ref="AF260:AF323" si="60">SUM(G260,K260,O260,S260,W260,AA260,AE260)</f>
        <v>29</v>
      </c>
    </row>
    <row r="261" spans="1:32" hidden="1" x14ac:dyDescent="0.35">
      <c r="A261" s="111" t="s">
        <v>325</v>
      </c>
      <c r="C261" s="60" t="s">
        <v>225</v>
      </c>
      <c r="D261" s="60">
        <v>91</v>
      </c>
      <c r="E261" s="60">
        <v>5</v>
      </c>
      <c r="F261" s="60">
        <v>8</v>
      </c>
      <c r="G261" s="61">
        <f>SUM(D261:F261)</f>
        <v>104</v>
      </c>
      <c r="H261" s="60">
        <v>2</v>
      </c>
      <c r="I261" s="60">
        <v>0</v>
      </c>
      <c r="J261" s="60">
        <v>1</v>
      </c>
      <c r="K261" s="61">
        <f>SUM(H261:J261)</f>
        <v>3</v>
      </c>
      <c r="L261" s="60">
        <v>24</v>
      </c>
      <c r="M261" s="60">
        <v>3</v>
      </c>
      <c r="N261" s="60">
        <v>3</v>
      </c>
      <c r="O261" s="61">
        <f>SUM(L261:N261)</f>
        <v>30</v>
      </c>
      <c r="P261" s="60">
        <v>0</v>
      </c>
      <c r="Q261" s="60">
        <v>0</v>
      </c>
      <c r="R261" s="60">
        <v>0</v>
      </c>
      <c r="S261" s="61">
        <f>SUM(P261:R261)</f>
        <v>0</v>
      </c>
      <c r="T261" s="60">
        <v>0</v>
      </c>
      <c r="U261" s="60">
        <v>0</v>
      </c>
      <c r="V261" s="60">
        <v>0</v>
      </c>
      <c r="W261" s="61">
        <f>SUM(T261:V261)</f>
        <v>0</v>
      </c>
      <c r="X261" s="60">
        <v>1</v>
      </c>
      <c r="Y261" s="60">
        <v>1</v>
      </c>
      <c r="Z261" s="60">
        <v>0</v>
      </c>
      <c r="AA261" s="61">
        <f>SUM(X261:Z261)</f>
        <v>2</v>
      </c>
      <c r="AB261" s="60">
        <v>0</v>
      </c>
      <c r="AC261" s="60">
        <v>1</v>
      </c>
      <c r="AD261" s="60">
        <v>0</v>
      </c>
      <c r="AE261" s="61">
        <f>SUM(AB261:AD261)</f>
        <v>1</v>
      </c>
      <c r="AF261" s="62">
        <f t="shared" si="60"/>
        <v>140</v>
      </c>
    </row>
    <row r="262" spans="1:32" hidden="1" x14ac:dyDescent="0.35">
      <c r="A262" s="111"/>
      <c r="C262" s="63" t="s">
        <v>227</v>
      </c>
      <c r="D262" s="63">
        <v>76</v>
      </c>
      <c r="E262" s="63">
        <v>3</v>
      </c>
      <c r="F262" s="63">
        <v>4</v>
      </c>
      <c r="G262" s="61">
        <f>SUM(D262:F262)</f>
        <v>83</v>
      </c>
      <c r="H262" s="63">
        <v>2</v>
      </c>
      <c r="I262" s="63"/>
      <c r="J262" s="63"/>
      <c r="K262" s="61">
        <f>SUM(H262:J262)</f>
        <v>2</v>
      </c>
      <c r="L262" s="63">
        <v>25</v>
      </c>
      <c r="M262" s="63">
        <v>4</v>
      </c>
      <c r="N262" s="63">
        <v>6</v>
      </c>
      <c r="O262" s="61">
        <f>SUM(L262:N262)</f>
        <v>35</v>
      </c>
      <c r="P262" s="63"/>
      <c r="Q262" s="63"/>
      <c r="R262" s="63"/>
      <c r="S262" s="61">
        <f>SUM(P262:R262)</f>
        <v>0</v>
      </c>
      <c r="T262" s="63"/>
      <c r="U262" s="63"/>
      <c r="V262" s="63"/>
      <c r="W262" s="61">
        <f>SUM(T262:V262)</f>
        <v>0</v>
      </c>
      <c r="X262" s="63">
        <v>2</v>
      </c>
      <c r="Y262" s="63"/>
      <c r="Z262" s="63"/>
      <c r="AA262" s="61">
        <f>SUM(X262:Z262)</f>
        <v>2</v>
      </c>
      <c r="AB262" s="63"/>
      <c r="AC262" s="63"/>
      <c r="AD262" s="63"/>
      <c r="AE262" s="61">
        <f>SUM(AB262:AD262)</f>
        <v>0</v>
      </c>
      <c r="AF262" s="64">
        <f t="shared" si="60"/>
        <v>122</v>
      </c>
    </row>
    <row r="263" spans="1:32" hidden="1" x14ac:dyDescent="0.35">
      <c r="A263" s="111"/>
      <c r="C263" s="60" t="s">
        <v>228</v>
      </c>
      <c r="D263" s="60">
        <v>67</v>
      </c>
      <c r="E263" s="60">
        <v>10</v>
      </c>
      <c r="F263" s="60">
        <v>8</v>
      </c>
      <c r="G263" s="61">
        <f>SUM(D263:F263)</f>
        <v>85</v>
      </c>
      <c r="H263" s="60">
        <v>4</v>
      </c>
      <c r="I263" s="60"/>
      <c r="J263" s="60">
        <v>2</v>
      </c>
      <c r="K263" s="61">
        <f>SUM(H263:J263)</f>
        <v>6</v>
      </c>
      <c r="L263" s="60">
        <v>16</v>
      </c>
      <c r="M263" s="60">
        <v>3</v>
      </c>
      <c r="N263" s="60">
        <v>3</v>
      </c>
      <c r="O263" s="61">
        <f>SUM(L263:N263)</f>
        <v>22</v>
      </c>
      <c r="P263" s="60"/>
      <c r="Q263" s="60"/>
      <c r="R263" s="60"/>
      <c r="S263" s="61">
        <f>SUM(P263:R263)</f>
        <v>0</v>
      </c>
      <c r="T263" s="60"/>
      <c r="U263" s="60"/>
      <c r="V263" s="60"/>
      <c r="W263" s="61">
        <f>SUM(T263:V263)</f>
        <v>0</v>
      </c>
      <c r="X263" s="60">
        <v>2</v>
      </c>
      <c r="Y263" s="60"/>
      <c r="Z263" s="60">
        <v>1</v>
      </c>
      <c r="AA263" s="61">
        <f>SUM(X263:Z263)</f>
        <v>3</v>
      </c>
      <c r="AB263" s="60"/>
      <c r="AC263" s="60"/>
      <c r="AD263" s="60"/>
      <c r="AE263" s="61">
        <f>SUM(AB263:AD263)</f>
        <v>0</v>
      </c>
      <c r="AF263" s="65">
        <f t="shared" si="60"/>
        <v>116</v>
      </c>
    </row>
    <row r="264" spans="1:32" hidden="1" x14ac:dyDescent="0.35">
      <c r="A264" s="111"/>
      <c r="C264" s="63" t="s">
        <v>235</v>
      </c>
      <c r="D264" s="63">
        <v>81</v>
      </c>
      <c r="E264" s="63">
        <v>7</v>
      </c>
      <c r="F264" s="63">
        <v>9</v>
      </c>
      <c r="G264" s="61">
        <f>SUM(D264:F264)</f>
        <v>97</v>
      </c>
      <c r="H264" s="63">
        <v>2</v>
      </c>
      <c r="I264" s="63"/>
      <c r="J264" s="63">
        <v>1</v>
      </c>
      <c r="K264" s="61">
        <f>SUM(H264:J264)</f>
        <v>3</v>
      </c>
      <c r="L264" s="63">
        <v>33</v>
      </c>
      <c r="M264" s="63">
        <v>3</v>
      </c>
      <c r="N264" s="63">
        <v>5</v>
      </c>
      <c r="O264" s="61">
        <f>SUM(L264:N264)</f>
        <v>41</v>
      </c>
      <c r="P264" s="63"/>
      <c r="Q264" s="63"/>
      <c r="R264" s="63"/>
      <c r="S264" s="61">
        <f>SUM(P264:R264)</f>
        <v>0</v>
      </c>
      <c r="T264" s="63"/>
      <c r="U264" s="63"/>
      <c r="V264" s="63"/>
      <c r="W264" s="61">
        <f>SUM(T264:V264)</f>
        <v>0</v>
      </c>
      <c r="X264" s="63">
        <v>2</v>
      </c>
      <c r="Y264" s="63"/>
      <c r="Z264" s="63"/>
      <c r="AA264" s="61">
        <f>SUM(X264:Z264)</f>
        <v>2</v>
      </c>
      <c r="AB264" s="63"/>
      <c r="AC264" s="63"/>
      <c r="AD264" s="63"/>
      <c r="AE264" s="61">
        <f>SUM(AB264:AD264)</f>
        <v>0</v>
      </c>
      <c r="AF264" s="63">
        <f t="shared" si="60"/>
        <v>143</v>
      </c>
    </row>
    <row r="265" spans="1:32" hidden="1" x14ac:dyDescent="0.35">
      <c r="A265" s="76" t="s">
        <v>326</v>
      </c>
      <c r="B265" s="67"/>
      <c r="C265" s="66"/>
      <c r="D265" s="66">
        <f t="shared" ref="D265:AE265" si="61">SUM(D261:D264)</f>
        <v>315</v>
      </c>
      <c r="E265" s="66">
        <f t="shared" si="61"/>
        <v>25</v>
      </c>
      <c r="F265" s="66">
        <f t="shared" si="61"/>
        <v>29</v>
      </c>
      <c r="G265" s="61">
        <f t="shared" si="61"/>
        <v>369</v>
      </c>
      <c r="H265" s="66">
        <f t="shared" si="61"/>
        <v>10</v>
      </c>
      <c r="I265" s="66">
        <f t="shared" si="61"/>
        <v>0</v>
      </c>
      <c r="J265" s="66">
        <f t="shared" si="61"/>
        <v>4</v>
      </c>
      <c r="K265" s="61">
        <f t="shared" si="61"/>
        <v>14</v>
      </c>
      <c r="L265" s="66">
        <f t="shared" si="61"/>
        <v>98</v>
      </c>
      <c r="M265" s="66">
        <f t="shared" si="61"/>
        <v>13</v>
      </c>
      <c r="N265" s="66">
        <f t="shared" si="61"/>
        <v>17</v>
      </c>
      <c r="O265" s="61">
        <f t="shared" si="61"/>
        <v>128</v>
      </c>
      <c r="P265" s="66">
        <f t="shared" si="61"/>
        <v>0</v>
      </c>
      <c r="Q265" s="66">
        <f t="shared" si="61"/>
        <v>0</v>
      </c>
      <c r="R265" s="66">
        <f t="shared" si="61"/>
        <v>0</v>
      </c>
      <c r="S265" s="61">
        <f t="shared" si="61"/>
        <v>0</v>
      </c>
      <c r="T265" s="66">
        <f t="shared" si="61"/>
        <v>0</v>
      </c>
      <c r="U265" s="66">
        <f t="shared" si="61"/>
        <v>0</v>
      </c>
      <c r="V265" s="66">
        <f t="shared" si="61"/>
        <v>0</v>
      </c>
      <c r="W265" s="61">
        <f t="shared" si="61"/>
        <v>0</v>
      </c>
      <c r="X265" s="66">
        <f t="shared" si="61"/>
        <v>7</v>
      </c>
      <c r="Y265" s="66">
        <f t="shared" si="61"/>
        <v>1</v>
      </c>
      <c r="Z265" s="66">
        <f t="shared" si="61"/>
        <v>1</v>
      </c>
      <c r="AA265" s="61">
        <f t="shared" si="61"/>
        <v>9</v>
      </c>
      <c r="AB265" s="66">
        <f t="shared" si="61"/>
        <v>0</v>
      </c>
      <c r="AC265" s="66">
        <f t="shared" si="61"/>
        <v>1</v>
      </c>
      <c r="AD265" s="66">
        <f t="shared" si="61"/>
        <v>0</v>
      </c>
      <c r="AE265" s="61">
        <f t="shared" si="61"/>
        <v>1</v>
      </c>
      <c r="AF265" s="68">
        <f t="shared" si="60"/>
        <v>521</v>
      </c>
    </row>
    <row r="266" spans="1:32" x14ac:dyDescent="0.35">
      <c r="A266" s="66" t="s">
        <v>324</v>
      </c>
      <c r="B266" s="67">
        <v>26</v>
      </c>
      <c r="C266" s="66"/>
      <c r="D266" s="66">
        <f t="shared" ref="D266:AE266" si="62">SUM(D265,D260)</f>
        <v>333</v>
      </c>
      <c r="E266" s="66">
        <f t="shared" si="62"/>
        <v>25</v>
      </c>
      <c r="F266" s="66">
        <f t="shared" si="62"/>
        <v>29</v>
      </c>
      <c r="G266" s="61">
        <f t="shared" si="62"/>
        <v>387</v>
      </c>
      <c r="H266" s="66">
        <f t="shared" si="62"/>
        <v>10</v>
      </c>
      <c r="I266" s="66">
        <f t="shared" si="62"/>
        <v>0</v>
      </c>
      <c r="J266" s="66">
        <f t="shared" si="62"/>
        <v>4</v>
      </c>
      <c r="K266" s="61">
        <f t="shared" si="62"/>
        <v>14</v>
      </c>
      <c r="L266" s="66">
        <f t="shared" si="62"/>
        <v>101</v>
      </c>
      <c r="M266" s="66">
        <f t="shared" si="62"/>
        <v>13</v>
      </c>
      <c r="N266" s="66">
        <f t="shared" si="62"/>
        <v>17</v>
      </c>
      <c r="O266" s="61">
        <f t="shared" si="62"/>
        <v>131</v>
      </c>
      <c r="P266" s="66">
        <f t="shared" si="62"/>
        <v>4</v>
      </c>
      <c r="Q266" s="66">
        <f t="shared" si="62"/>
        <v>0</v>
      </c>
      <c r="R266" s="66">
        <f t="shared" si="62"/>
        <v>0</v>
      </c>
      <c r="S266" s="61">
        <f t="shared" si="62"/>
        <v>4</v>
      </c>
      <c r="T266" s="66">
        <f t="shared" si="62"/>
        <v>0</v>
      </c>
      <c r="U266" s="66">
        <f t="shared" si="62"/>
        <v>0</v>
      </c>
      <c r="V266" s="66">
        <f t="shared" si="62"/>
        <v>0</v>
      </c>
      <c r="W266" s="61">
        <f t="shared" si="62"/>
        <v>0</v>
      </c>
      <c r="X266" s="66">
        <f t="shared" si="62"/>
        <v>11</v>
      </c>
      <c r="Y266" s="66">
        <f t="shared" si="62"/>
        <v>1</v>
      </c>
      <c r="Z266" s="66">
        <f t="shared" si="62"/>
        <v>1</v>
      </c>
      <c r="AA266" s="61">
        <f t="shared" si="62"/>
        <v>13</v>
      </c>
      <c r="AB266" s="66">
        <f t="shared" si="62"/>
        <v>0</v>
      </c>
      <c r="AC266" s="66">
        <f t="shared" si="62"/>
        <v>1</v>
      </c>
      <c r="AD266" s="66">
        <f t="shared" si="62"/>
        <v>0</v>
      </c>
      <c r="AE266" s="61">
        <f t="shared" si="62"/>
        <v>1</v>
      </c>
      <c r="AF266" s="68">
        <f t="shared" si="60"/>
        <v>550</v>
      </c>
    </row>
    <row r="267" spans="1:32" hidden="1" x14ac:dyDescent="0.35">
      <c r="A267" s="59" t="s">
        <v>327</v>
      </c>
      <c r="B267" s="54">
        <v>24</v>
      </c>
      <c r="C267" s="60" t="s">
        <v>225</v>
      </c>
      <c r="D267" s="60"/>
      <c r="E267" s="60"/>
      <c r="F267" s="60"/>
      <c r="G267" s="61">
        <f>SUM(D267:F267)</f>
        <v>0</v>
      </c>
      <c r="H267" s="60"/>
      <c r="I267" s="60"/>
      <c r="J267" s="60"/>
      <c r="K267" s="61">
        <f>SUM(H267:J267)</f>
        <v>0</v>
      </c>
      <c r="L267" s="60">
        <v>2</v>
      </c>
      <c r="M267" s="60"/>
      <c r="N267" s="60"/>
      <c r="O267" s="61">
        <f>SUM(L267:N267)</f>
        <v>2</v>
      </c>
      <c r="P267" s="60"/>
      <c r="Q267" s="60"/>
      <c r="R267" s="60"/>
      <c r="S267" s="61">
        <f>SUM(P267:R267)</f>
        <v>0</v>
      </c>
      <c r="T267" s="60"/>
      <c r="U267" s="60"/>
      <c r="V267" s="60"/>
      <c r="W267" s="61">
        <f>SUM(T267:V267)</f>
        <v>0</v>
      </c>
      <c r="X267" s="60"/>
      <c r="Y267" s="60"/>
      <c r="Z267" s="60"/>
      <c r="AA267" s="61">
        <f>SUM(X267:Z267)</f>
        <v>0</v>
      </c>
      <c r="AB267" s="60"/>
      <c r="AC267" s="60"/>
      <c r="AD267" s="60"/>
      <c r="AE267" s="61">
        <f>SUM(AB267:AD267)</f>
        <v>0</v>
      </c>
      <c r="AF267" s="62">
        <f t="shared" si="60"/>
        <v>2</v>
      </c>
    </row>
    <row r="268" spans="1:32" ht="15" hidden="1" customHeight="1" x14ac:dyDescent="0.35">
      <c r="A268" s="111" t="s">
        <v>318</v>
      </c>
      <c r="C268" s="63" t="s">
        <v>227</v>
      </c>
      <c r="D268" s="63"/>
      <c r="E268" s="63"/>
      <c r="F268" s="63"/>
      <c r="G268" s="61">
        <f>SUM(D268:F268)</f>
        <v>0</v>
      </c>
      <c r="H268" s="63"/>
      <c r="I268" s="63"/>
      <c r="J268" s="63"/>
      <c r="K268" s="61">
        <f>SUM(H268:J268)</f>
        <v>0</v>
      </c>
      <c r="L268" s="63">
        <v>1</v>
      </c>
      <c r="M268" s="63"/>
      <c r="N268" s="63"/>
      <c r="O268" s="61">
        <f>SUM(L268:N268)</f>
        <v>1</v>
      </c>
      <c r="P268" s="63"/>
      <c r="Q268" s="63"/>
      <c r="R268" s="63"/>
      <c r="S268" s="61">
        <f>SUM(P268:R268)</f>
        <v>0</v>
      </c>
      <c r="T268" s="63"/>
      <c r="U268" s="63"/>
      <c r="V268" s="63"/>
      <c r="W268" s="61">
        <f>SUM(T268:V268)</f>
        <v>0</v>
      </c>
      <c r="X268" s="63"/>
      <c r="Y268" s="63"/>
      <c r="Z268" s="63"/>
      <c r="AA268" s="61">
        <f>SUM(X268:Z268)</f>
        <v>0</v>
      </c>
      <c r="AB268" s="63"/>
      <c r="AC268" s="63"/>
      <c r="AD268" s="63"/>
      <c r="AE268" s="61">
        <f>SUM(AB268:AD268)</f>
        <v>0</v>
      </c>
      <c r="AF268" s="64">
        <f t="shared" si="60"/>
        <v>1</v>
      </c>
    </row>
    <row r="269" spans="1:32" hidden="1" x14ac:dyDescent="0.35">
      <c r="A269" s="111"/>
      <c r="C269" s="60" t="s">
        <v>228</v>
      </c>
      <c r="D269" s="60"/>
      <c r="E269" s="60"/>
      <c r="F269" s="60"/>
      <c r="G269" s="61">
        <f>SUM(D269:F269)</f>
        <v>0</v>
      </c>
      <c r="H269" s="60"/>
      <c r="I269" s="60"/>
      <c r="J269" s="60"/>
      <c r="K269" s="61">
        <f>SUM(H269:J269)</f>
        <v>0</v>
      </c>
      <c r="L269" s="60">
        <v>1</v>
      </c>
      <c r="M269" s="60"/>
      <c r="N269" s="60"/>
      <c r="O269" s="61">
        <f>SUM(L269:N269)</f>
        <v>1</v>
      </c>
      <c r="P269" s="60"/>
      <c r="Q269" s="60"/>
      <c r="R269" s="60"/>
      <c r="S269" s="61">
        <f>SUM(P269:R269)</f>
        <v>0</v>
      </c>
      <c r="T269" s="60"/>
      <c r="U269" s="60"/>
      <c r="V269" s="60"/>
      <c r="W269" s="61">
        <f>SUM(T269:V269)</f>
        <v>0</v>
      </c>
      <c r="X269" s="60"/>
      <c r="Y269" s="60"/>
      <c r="Z269" s="60"/>
      <c r="AA269" s="61">
        <f>SUM(X269:Z269)</f>
        <v>0</v>
      </c>
      <c r="AB269" s="60"/>
      <c r="AC269" s="60"/>
      <c r="AD269" s="60"/>
      <c r="AE269" s="61">
        <f>SUM(AB269:AD269)</f>
        <v>0</v>
      </c>
      <c r="AF269" s="65">
        <f t="shared" si="60"/>
        <v>1</v>
      </c>
    </row>
    <row r="270" spans="1:32" hidden="1" x14ac:dyDescent="0.35">
      <c r="A270" s="111"/>
      <c r="C270" s="63" t="s">
        <v>235</v>
      </c>
      <c r="D270" s="63"/>
      <c r="E270" s="63"/>
      <c r="F270" s="63"/>
      <c r="G270" s="61">
        <f>SUM(D270:F270)</f>
        <v>0</v>
      </c>
      <c r="H270" s="63"/>
      <c r="I270" s="63"/>
      <c r="J270" s="63"/>
      <c r="K270" s="61">
        <f>SUM(H270:J270)</f>
        <v>0</v>
      </c>
      <c r="L270" s="63">
        <v>2</v>
      </c>
      <c r="M270" s="63"/>
      <c r="N270" s="63"/>
      <c r="O270" s="61">
        <f>SUM(L270:N270)</f>
        <v>2</v>
      </c>
      <c r="P270" s="63"/>
      <c r="Q270" s="63"/>
      <c r="R270" s="63"/>
      <c r="S270" s="61">
        <f>SUM(P270:R270)</f>
        <v>0</v>
      </c>
      <c r="T270" s="63"/>
      <c r="U270" s="63"/>
      <c r="V270" s="63"/>
      <c r="W270" s="61">
        <f>SUM(T270:V270)</f>
        <v>0</v>
      </c>
      <c r="X270" s="63"/>
      <c r="Y270" s="63"/>
      <c r="Z270" s="63"/>
      <c r="AA270" s="61">
        <f>SUM(X270:Z270)</f>
        <v>0</v>
      </c>
      <c r="AB270" s="63"/>
      <c r="AC270" s="63"/>
      <c r="AD270" s="63"/>
      <c r="AE270" s="61">
        <f>SUM(AB270:AD270)</f>
        <v>0</v>
      </c>
      <c r="AF270" s="63">
        <f t="shared" si="60"/>
        <v>2</v>
      </c>
    </row>
    <row r="271" spans="1:32" hidden="1" x14ac:dyDescent="0.35">
      <c r="A271" s="66" t="s">
        <v>318</v>
      </c>
      <c r="B271" s="67"/>
      <c r="C271" s="66"/>
      <c r="D271" s="66">
        <f t="shared" ref="D271:AE271" si="63">SUM(D267:D270)</f>
        <v>0</v>
      </c>
      <c r="E271" s="66">
        <f t="shared" si="63"/>
        <v>0</v>
      </c>
      <c r="F271" s="66">
        <f t="shared" si="63"/>
        <v>0</v>
      </c>
      <c r="G271" s="61">
        <f t="shared" si="63"/>
        <v>0</v>
      </c>
      <c r="H271" s="66">
        <f t="shared" si="63"/>
        <v>0</v>
      </c>
      <c r="I271" s="66">
        <f t="shared" si="63"/>
        <v>0</v>
      </c>
      <c r="J271" s="66">
        <f t="shared" si="63"/>
        <v>0</v>
      </c>
      <c r="K271" s="61">
        <f t="shared" si="63"/>
        <v>0</v>
      </c>
      <c r="L271" s="66">
        <f t="shared" si="63"/>
        <v>6</v>
      </c>
      <c r="M271" s="66">
        <f t="shared" si="63"/>
        <v>0</v>
      </c>
      <c r="N271" s="66">
        <f t="shared" si="63"/>
        <v>0</v>
      </c>
      <c r="O271" s="61">
        <f t="shared" si="63"/>
        <v>6</v>
      </c>
      <c r="P271" s="66">
        <f t="shared" si="63"/>
        <v>0</v>
      </c>
      <c r="Q271" s="66">
        <f t="shared" si="63"/>
        <v>0</v>
      </c>
      <c r="R271" s="66">
        <f t="shared" si="63"/>
        <v>0</v>
      </c>
      <c r="S271" s="61">
        <f t="shared" si="63"/>
        <v>0</v>
      </c>
      <c r="T271" s="66">
        <f t="shared" si="63"/>
        <v>0</v>
      </c>
      <c r="U271" s="66">
        <f t="shared" si="63"/>
        <v>0</v>
      </c>
      <c r="V271" s="66">
        <f t="shared" si="63"/>
        <v>0</v>
      </c>
      <c r="W271" s="61">
        <f t="shared" si="63"/>
        <v>0</v>
      </c>
      <c r="X271" s="66">
        <f t="shared" si="63"/>
        <v>0</v>
      </c>
      <c r="Y271" s="66">
        <f t="shared" si="63"/>
        <v>0</v>
      </c>
      <c r="Z271" s="66">
        <f t="shared" si="63"/>
        <v>0</v>
      </c>
      <c r="AA271" s="61">
        <f t="shared" si="63"/>
        <v>0</v>
      </c>
      <c r="AB271" s="66">
        <f t="shared" si="63"/>
        <v>0</v>
      </c>
      <c r="AC271" s="66">
        <f t="shared" si="63"/>
        <v>0</v>
      </c>
      <c r="AD271" s="66">
        <f t="shared" si="63"/>
        <v>0</v>
      </c>
      <c r="AE271" s="61">
        <f t="shared" si="63"/>
        <v>0</v>
      </c>
      <c r="AF271" s="68">
        <f t="shared" si="60"/>
        <v>6</v>
      </c>
    </row>
    <row r="272" spans="1:32" hidden="1" x14ac:dyDescent="0.35">
      <c r="A272" s="111" t="s">
        <v>323</v>
      </c>
      <c r="C272" s="60" t="s">
        <v>225</v>
      </c>
      <c r="D272" s="60"/>
      <c r="E272" s="60"/>
      <c r="F272" s="60"/>
      <c r="G272" s="61">
        <f>SUM(D272:F272)</f>
        <v>0</v>
      </c>
      <c r="H272" s="60"/>
      <c r="I272" s="60"/>
      <c r="J272" s="60"/>
      <c r="K272" s="61">
        <f>SUM(H272:J272)</f>
        <v>0</v>
      </c>
      <c r="L272" s="60"/>
      <c r="M272" s="60"/>
      <c r="N272" s="60"/>
      <c r="O272" s="61">
        <f>SUM(L272:N272)</f>
        <v>0</v>
      </c>
      <c r="P272" s="60"/>
      <c r="Q272" s="60"/>
      <c r="R272" s="60"/>
      <c r="S272" s="61">
        <f>SUM(P272:R272)</f>
        <v>0</v>
      </c>
      <c r="T272" s="60"/>
      <c r="U272" s="60"/>
      <c r="V272" s="60"/>
      <c r="W272" s="61">
        <f>SUM(T272:V272)</f>
        <v>0</v>
      </c>
      <c r="X272" s="60"/>
      <c r="Y272" s="60"/>
      <c r="Z272" s="60"/>
      <c r="AA272" s="61">
        <f>SUM(X272:Z272)</f>
        <v>0</v>
      </c>
      <c r="AB272" s="60"/>
      <c r="AC272" s="60"/>
      <c r="AD272" s="60"/>
      <c r="AE272" s="61">
        <f>SUM(AB272:AD272)</f>
        <v>0</v>
      </c>
      <c r="AF272" s="62">
        <f t="shared" si="60"/>
        <v>0</v>
      </c>
    </row>
    <row r="273" spans="1:32" ht="15" hidden="1" customHeight="1" x14ac:dyDescent="0.35">
      <c r="A273" s="111"/>
      <c r="C273" s="63" t="s">
        <v>227</v>
      </c>
      <c r="D273" s="63"/>
      <c r="E273" s="63"/>
      <c r="F273" s="63"/>
      <c r="G273" s="61">
        <f>SUM(D273:F273)</f>
        <v>0</v>
      </c>
      <c r="H273" s="63"/>
      <c r="I273" s="63"/>
      <c r="J273" s="63"/>
      <c r="K273" s="61">
        <f>SUM(H273:J273)</f>
        <v>0</v>
      </c>
      <c r="L273" s="63">
        <v>1</v>
      </c>
      <c r="M273" s="63"/>
      <c r="N273" s="63"/>
      <c r="O273" s="61">
        <f>SUM(L273:N273)</f>
        <v>1</v>
      </c>
      <c r="P273" s="63"/>
      <c r="Q273" s="63"/>
      <c r="R273" s="63"/>
      <c r="S273" s="61">
        <f>SUM(P273:R273)</f>
        <v>0</v>
      </c>
      <c r="T273" s="63"/>
      <c r="U273" s="63"/>
      <c r="V273" s="63"/>
      <c r="W273" s="61">
        <f>SUM(T273:V273)</f>
        <v>0</v>
      </c>
      <c r="X273" s="63"/>
      <c r="Y273" s="63"/>
      <c r="Z273" s="63"/>
      <c r="AA273" s="61">
        <f>SUM(X273:Z273)</f>
        <v>0</v>
      </c>
      <c r="AB273" s="63">
        <v>1</v>
      </c>
      <c r="AC273" s="63"/>
      <c r="AD273" s="63"/>
      <c r="AE273" s="61">
        <f>SUM(AB273:AD273)</f>
        <v>1</v>
      </c>
      <c r="AF273" s="64">
        <f t="shared" si="60"/>
        <v>2</v>
      </c>
    </row>
    <row r="274" spans="1:32" hidden="1" x14ac:dyDescent="0.35">
      <c r="A274" s="111"/>
      <c r="C274" s="60" t="s">
        <v>228</v>
      </c>
      <c r="D274" s="60"/>
      <c r="E274" s="60"/>
      <c r="F274" s="60"/>
      <c r="G274" s="61">
        <f>SUM(D274:F274)</f>
        <v>0</v>
      </c>
      <c r="H274" s="60"/>
      <c r="I274" s="60"/>
      <c r="J274" s="60"/>
      <c r="K274" s="61">
        <f>SUM(H274:J274)</f>
        <v>0</v>
      </c>
      <c r="L274" s="60"/>
      <c r="M274" s="60"/>
      <c r="N274" s="60"/>
      <c r="O274" s="61">
        <f>SUM(L274:N274)</f>
        <v>0</v>
      </c>
      <c r="P274" s="60"/>
      <c r="Q274" s="60"/>
      <c r="R274" s="60"/>
      <c r="S274" s="61">
        <f>SUM(P274:R274)</f>
        <v>0</v>
      </c>
      <c r="T274" s="60"/>
      <c r="U274" s="60"/>
      <c r="V274" s="60"/>
      <c r="W274" s="61">
        <f>SUM(T274:V274)</f>
        <v>0</v>
      </c>
      <c r="X274" s="60"/>
      <c r="Y274" s="60"/>
      <c r="Z274" s="60"/>
      <c r="AA274" s="61">
        <f>SUM(X274:Z274)</f>
        <v>0</v>
      </c>
      <c r="AB274" s="60"/>
      <c r="AC274" s="60"/>
      <c r="AD274" s="60"/>
      <c r="AE274" s="61">
        <f>SUM(AB274:AD274)</f>
        <v>0</v>
      </c>
      <c r="AF274" s="65">
        <f t="shared" si="60"/>
        <v>0</v>
      </c>
    </row>
    <row r="275" spans="1:32" hidden="1" x14ac:dyDescent="0.35">
      <c r="A275" s="111"/>
      <c r="C275" s="63" t="s">
        <v>235</v>
      </c>
      <c r="D275" s="63"/>
      <c r="E275" s="63"/>
      <c r="F275" s="63"/>
      <c r="G275" s="61">
        <f>SUM(D275:F275)</f>
        <v>0</v>
      </c>
      <c r="H275" s="63"/>
      <c r="I275" s="63"/>
      <c r="J275" s="63"/>
      <c r="K275" s="61">
        <f>SUM(H275:J275)</f>
        <v>0</v>
      </c>
      <c r="L275" s="63"/>
      <c r="M275" s="63"/>
      <c r="N275" s="63"/>
      <c r="O275" s="61">
        <f>SUM(L275:N275)</f>
        <v>0</v>
      </c>
      <c r="P275" s="63"/>
      <c r="Q275" s="63"/>
      <c r="R275" s="63"/>
      <c r="S275" s="61">
        <f>SUM(P275:R275)</f>
        <v>0</v>
      </c>
      <c r="T275" s="63"/>
      <c r="U275" s="63"/>
      <c r="V275" s="63"/>
      <c r="W275" s="61">
        <f>SUM(T275:V275)</f>
        <v>0</v>
      </c>
      <c r="X275" s="63"/>
      <c r="Y275" s="63"/>
      <c r="Z275" s="63"/>
      <c r="AA275" s="61">
        <f>SUM(X275:Z275)</f>
        <v>0</v>
      </c>
      <c r="AB275" s="63">
        <v>3</v>
      </c>
      <c r="AC275" s="63"/>
      <c r="AD275" s="63"/>
      <c r="AE275" s="61">
        <f>SUM(AB275:AD275)</f>
        <v>3</v>
      </c>
      <c r="AF275" s="63">
        <f t="shared" si="60"/>
        <v>3</v>
      </c>
    </row>
    <row r="276" spans="1:32" hidden="1" x14ac:dyDescent="0.35">
      <c r="A276" s="76" t="s">
        <v>328</v>
      </c>
      <c r="B276" s="67"/>
      <c r="C276" s="66"/>
      <c r="D276" s="66">
        <f t="shared" ref="D276:AE276" si="64">SUM(D272:D275)</f>
        <v>0</v>
      </c>
      <c r="E276" s="66">
        <f t="shared" si="64"/>
        <v>0</v>
      </c>
      <c r="F276" s="66">
        <f t="shared" si="64"/>
        <v>0</v>
      </c>
      <c r="G276" s="61">
        <f t="shared" si="64"/>
        <v>0</v>
      </c>
      <c r="H276" s="66">
        <f t="shared" si="64"/>
        <v>0</v>
      </c>
      <c r="I276" s="66">
        <f t="shared" si="64"/>
        <v>0</v>
      </c>
      <c r="J276" s="66">
        <f t="shared" si="64"/>
        <v>0</v>
      </c>
      <c r="K276" s="61">
        <f t="shared" si="64"/>
        <v>0</v>
      </c>
      <c r="L276" s="66">
        <f t="shared" si="64"/>
        <v>1</v>
      </c>
      <c r="M276" s="66">
        <f t="shared" si="64"/>
        <v>0</v>
      </c>
      <c r="N276" s="66">
        <f t="shared" si="64"/>
        <v>0</v>
      </c>
      <c r="O276" s="61">
        <f t="shared" si="64"/>
        <v>1</v>
      </c>
      <c r="P276" s="66">
        <f t="shared" si="64"/>
        <v>0</v>
      </c>
      <c r="Q276" s="66">
        <f t="shared" si="64"/>
        <v>0</v>
      </c>
      <c r="R276" s="66">
        <f t="shared" si="64"/>
        <v>0</v>
      </c>
      <c r="S276" s="61">
        <f t="shared" si="64"/>
        <v>0</v>
      </c>
      <c r="T276" s="66">
        <f t="shared" si="64"/>
        <v>0</v>
      </c>
      <c r="U276" s="66">
        <f t="shared" si="64"/>
        <v>0</v>
      </c>
      <c r="V276" s="66">
        <f t="shared" si="64"/>
        <v>0</v>
      </c>
      <c r="W276" s="61">
        <f t="shared" si="64"/>
        <v>0</v>
      </c>
      <c r="X276" s="66">
        <f t="shared" si="64"/>
        <v>0</v>
      </c>
      <c r="Y276" s="66">
        <f t="shared" si="64"/>
        <v>0</v>
      </c>
      <c r="Z276" s="66">
        <f t="shared" si="64"/>
        <v>0</v>
      </c>
      <c r="AA276" s="61">
        <f t="shared" si="64"/>
        <v>0</v>
      </c>
      <c r="AB276" s="66">
        <f t="shared" si="64"/>
        <v>4</v>
      </c>
      <c r="AC276" s="66">
        <f t="shared" si="64"/>
        <v>0</v>
      </c>
      <c r="AD276" s="66">
        <f t="shared" si="64"/>
        <v>0</v>
      </c>
      <c r="AE276" s="61">
        <f t="shared" si="64"/>
        <v>4</v>
      </c>
      <c r="AF276" s="68">
        <f t="shared" si="60"/>
        <v>5</v>
      </c>
    </row>
    <row r="277" spans="1:32" x14ac:dyDescent="0.35">
      <c r="A277" s="66" t="s">
        <v>327</v>
      </c>
      <c r="B277" s="67">
        <v>24</v>
      </c>
      <c r="C277" s="66"/>
      <c r="D277" s="66">
        <f t="shared" ref="D277:AE277" si="65">SUM(D276,D271)</f>
        <v>0</v>
      </c>
      <c r="E277" s="66">
        <f t="shared" si="65"/>
        <v>0</v>
      </c>
      <c r="F277" s="66">
        <f t="shared" si="65"/>
        <v>0</v>
      </c>
      <c r="G277" s="61">
        <f t="shared" si="65"/>
        <v>0</v>
      </c>
      <c r="H277" s="66">
        <f t="shared" si="65"/>
        <v>0</v>
      </c>
      <c r="I277" s="66">
        <f t="shared" si="65"/>
        <v>0</v>
      </c>
      <c r="J277" s="66">
        <f t="shared" si="65"/>
        <v>0</v>
      </c>
      <c r="K277" s="61">
        <f t="shared" si="65"/>
        <v>0</v>
      </c>
      <c r="L277" s="66">
        <f t="shared" si="65"/>
        <v>7</v>
      </c>
      <c r="M277" s="66">
        <f t="shared" si="65"/>
        <v>0</v>
      </c>
      <c r="N277" s="66">
        <f t="shared" si="65"/>
        <v>0</v>
      </c>
      <c r="O277" s="61">
        <f t="shared" si="65"/>
        <v>7</v>
      </c>
      <c r="P277" s="66">
        <f t="shared" si="65"/>
        <v>0</v>
      </c>
      <c r="Q277" s="66">
        <f t="shared" si="65"/>
        <v>0</v>
      </c>
      <c r="R277" s="66">
        <f t="shared" si="65"/>
        <v>0</v>
      </c>
      <c r="S277" s="61">
        <f t="shared" si="65"/>
        <v>0</v>
      </c>
      <c r="T277" s="66">
        <f t="shared" si="65"/>
        <v>0</v>
      </c>
      <c r="U277" s="66">
        <f t="shared" si="65"/>
        <v>0</v>
      </c>
      <c r="V277" s="66">
        <f t="shared" si="65"/>
        <v>0</v>
      </c>
      <c r="W277" s="61">
        <f t="shared" si="65"/>
        <v>0</v>
      </c>
      <c r="X277" s="66">
        <f t="shared" si="65"/>
        <v>0</v>
      </c>
      <c r="Y277" s="66">
        <f t="shared" si="65"/>
        <v>0</v>
      </c>
      <c r="Z277" s="66">
        <f t="shared" si="65"/>
        <v>0</v>
      </c>
      <c r="AA277" s="61">
        <f t="shared" si="65"/>
        <v>0</v>
      </c>
      <c r="AB277" s="66">
        <f t="shared" si="65"/>
        <v>4</v>
      </c>
      <c r="AC277" s="66">
        <f t="shared" si="65"/>
        <v>0</v>
      </c>
      <c r="AD277" s="66">
        <f t="shared" si="65"/>
        <v>0</v>
      </c>
      <c r="AE277" s="61">
        <f t="shared" si="65"/>
        <v>4</v>
      </c>
      <c r="AF277" s="68">
        <f t="shared" si="60"/>
        <v>11</v>
      </c>
    </row>
    <row r="278" spans="1:32" hidden="1" x14ac:dyDescent="0.35">
      <c r="A278" s="59" t="s">
        <v>329</v>
      </c>
      <c r="B278" s="54" t="s">
        <v>330</v>
      </c>
      <c r="C278" s="60" t="s">
        <v>225</v>
      </c>
      <c r="D278" s="60"/>
      <c r="E278" s="60"/>
      <c r="F278" s="60"/>
      <c r="G278" s="61">
        <f>SUM(D278:F278)</f>
        <v>0</v>
      </c>
      <c r="H278" s="60"/>
      <c r="I278" s="60"/>
      <c r="J278" s="60"/>
      <c r="K278" s="61">
        <f>SUM(H278:J278)</f>
        <v>0</v>
      </c>
      <c r="L278" s="60"/>
      <c r="M278" s="60"/>
      <c r="N278" s="60"/>
      <c r="O278" s="61">
        <f>SUM(L278:N278)</f>
        <v>0</v>
      </c>
      <c r="P278" s="60"/>
      <c r="Q278" s="60"/>
      <c r="R278" s="60"/>
      <c r="S278" s="61">
        <f>SUM(P278:R278)</f>
        <v>0</v>
      </c>
      <c r="T278" s="60"/>
      <c r="U278" s="60"/>
      <c r="V278" s="60"/>
      <c r="W278" s="61">
        <f>SUM(T278:V278)</f>
        <v>0</v>
      </c>
      <c r="X278" s="60"/>
      <c r="Y278" s="60"/>
      <c r="Z278" s="60"/>
      <c r="AA278" s="61">
        <f>SUM(X278:Z278)</f>
        <v>0</v>
      </c>
      <c r="AB278" s="60"/>
      <c r="AC278" s="60"/>
      <c r="AD278" s="60"/>
      <c r="AE278" s="61">
        <f>SUM(AB278:AD278)</f>
        <v>0</v>
      </c>
      <c r="AF278" s="62">
        <f t="shared" si="60"/>
        <v>0</v>
      </c>
    </row>
    <row r="279" spans="1:32" hidden="1" x14ac:dyDescent="0.35">
      <c r="A279" s="111" t="s">
        <v>331</v>
      </c>
      <c r="C279" s="63" t="s">
        <v>227</v>
      </c>
      <c r="D279" s="63"/>
      <c r="E279" s="63"/>
      <c r="F279" s="63"/>
      <c r="G279" s="61">
        <f>SUM(D279:F279)</f>
        <v>0</v>
      </c>
      <c r="H279" s="63"/>
      <c r="I279" s="63"/>
      <c r="J279" s="63"/>
      <c r="K279" s="61">
        <f>SUM(H279:J279)</f>
        <v>0</v>
      </c>
      <c r="L279" s="63"/>
      <c r="M279" s="63"/>
      <c r="N279" s="63"/>
      <c r="O279" s="61">
        <f>SUM(L279:N279)</f>
        <v>0</v>
      </c>
      <c r="P279" s="63"/>
      <c r="Q279" s="63"/>
      <c r="R279" s="63"/>
      <c r="S279" s="61">
        <f>SUM(P279:R279)</f>
        <v>0</v>
      </c>
      <c r="T279" s="63"/>
      <c r="U279" s="63"/>
      <c r="V279" s="63"/>
      <c r="W279" s="61">
        <f>SUM(T279:V279)</f>
        <v>0</v>
      </c>
      <c r="X279" s="63"/>
      <c r="Y279" s="63"/>
      <c r="Z279" s="63"/>
      <c r="AA279" s="61">
        <f>SUM(X279:Z279)</f>
        <v>0</v>
      </c>
      <c r="AB279" s="63"/>
      <c r="AC279" s="63"/>
      <c r="AD279" s="63"/>
      <c r="AE279" s="61">
        <f>SUM(AB279:AD279)</f>
        <v>0</v>
      </c>
      <c r="AF279" s="64">
        <f t="shared" si="60"/>
        <v>0</v>
      </c>
    </row>
    <row r="280" spans="1:32" hidden="1" x14ac:dyDescent="0.35">
      <c r="A280" s="111"/>
      <c r="C280" s="60" t="s">
        <v>228</v>
      </c>
      <c r="D280" s="60"/>
      <c r="E280" s="60"/>
      <c r="F280" s="60"/>
      <c r="G280" s="61">
        <f>SUM(D280:F280)</f>
        <v>0</v>
      </c>
      <c r="H280" s="60"/>
      <c r="I280" s="60"/>
      <c r="J280" s="60"/>
      <c r="K280" s="61">
        <f>SUM(H280:J280)</f>
        <v>0</v>
      </c>
      <c r="L280" s="60"/>
      <c r="M280" s="60"/>
      <c r="N280" s="60"/>
      <c r="O280" s="61">
        <f>SUM(L280:N280)</f>
        <v>0</v>
      </c>
      <c r="P280" s="60"/>
      <c r="Q280" s="60"/>
      <c r="R280" s="60"/>
      <c r="S280" s="61">
        <f>SUM(P280:R280)</f>
        <v>0</v>
      </c>
      <c r="T280" s="60"/>
      <c r="U280" s="60"/>
      <c r="V280" s="60"/>
      <c r="W280" s="61">
        <f>SUM(T280:V280)</f>
        <v>0</v>
      </c>
      <c r="X280" s="60"/>
      <c r="Y280" s="60"/>
      <c r="Z280" s="60"/>
      <c r="AA280" s="61">
        <f>SUM(X280:Z280)</f>
        <v>0</v>
      </c>
      <c r="AB280" s="60"/>
      <c r="AC280" s="60"/>
      <c r="AD280" s="60"/>
      <c r="AE280" s="61">
        <f>SUM(AB280:AD280)</f>
        <v>0</v>
      </c>
      <c r="AF280" s="65">
        <f t="shared" si="60"/>
        <v>0</v>
      </c>
    </row>
    <row r="281" spans="1:32" hidden="1" x14ac:dyDescent="0.35">
      <c r="A281" s="111"/>
      <c r="C281" s="63" t="s">
        <v>235</v>
      </c>
      <c r="D281" s="63"/>
      <c r="E281" s="63"/>
      <c r="F281" s="63"/>
      <c r="G281" s="61">
        <f>SUM(D281:F281)</f>
        <v>0</v>
      </c>
      <c r="H281" s="63"/>
      <c r="I281" s="63"/>
      <c r="J281" s="63"/>
      <c r="K281" s="61">
        <f>SUM(H281:J281)</f>
        <v>0</v>
      </c>
      <c r="L281" s="63"/>
      <c r="M281" s="63"/>
      <c r="N281" s="63"/>
      <c r="O281" s="61">
        <f>SUM(L281:N281)</f>
        <v>0</v>
      </c>
      <c r="P281" s="63"/>
      <c r="Q281" s="63"/>
      <c r="R281" s="63"/>
      <c r="S281" s="61">
        <f>SUM(P281:R281)</f>
        <v>0</v>
      </c>
      <c r="T281" s="63"/>
      <c r="U281" s="63"/>
      <c r="V281" s="63"/>
      <c r="W281" s="61">
        <f>SUM(T281:V281)</f>
        <v>0</v>
      </c>
      <c r="X281" s="63"/>
      <c r="Y281" s="63"/>
      <c r="Z281" s="63"/>
      <c r="AA281" s="61">
        <f>SUM(X281:Z281)</f>
        <v>0</v>
      </c>
      <c r="AB281" s="63"/>
      <c r="AC281" s="63"/>
      <c r="AD281" s="63"/>
      <c r="AE281" s="61">
        <f>SUM(AB281:AD281)</f>
        <v>0</v>
      </c>
      <c r="AF281" s="63">
        <f t="shared" si="60"/>
        <v>0</v>
      </c>
    </row>
    <row r="282" spans="1:32" x14ac:dyDescent="0.35">
      <c r="A282" s="66" t="s">
        <v>329</v>
      </c>
      <c r="B282" s="67" t="s">
        <v>330</v>
      </c>
      <c r="C282" s="66"/>
      <c r="D282" s="66">
        <f t="shared" ref="D282:AE282" si="66">SUM(D278:D281)</f>
        <v>0</v>
      </c>
      <c r="E282" s="66">
        <f t="shared" si="66"/>
        <v>0</v>
      </c>
      <c r="F282" s="66">
        <f t="shared" si="66"/>
        <v>0</v>
      </c>
      <c r="G282" s="61">
        <f t="shared" si="66"/>
        <v>0</v>
      </c>
      <c r="H282" s="66">
        <f t="shared" si="66"/>
        <v>0</v>
      </c>
      <c r="I282" s="66">
        <f t="shared" si="66"/>
        <v>0</v>
      </c>
      <c r="J282" s="66">
        <f t="shared" si="66"/>
        <v>0</v>
      </c>
      <c r="K282" s="61">
        <f t="shared" si="66"/>
        <v>0</v>
      </c>
      <c r="L282" s="66">
        <f t="shared" si="66"/>
        <v>0</v>
      </c>
      <c r="M282" s="66">
        <f t="shared" si="66"/>
        <v>0</v>
      </c>
      <c r="N282" s="66">
        <f t="shared" si="66"/>
        <v>0</v>
      </c>
      <c r="O282" s="61">
        <f t="shared" si="66"/>
        <v>0</v>
      </c>
      <c r="P282" s="66">
        <f t="shared" si="66"/>
        <v>0</v>
      </c>
      <c r="Q282" s="66">
        <f t="shared" si="66"/>
        <v>0</v>
      </c>
      <c r="R282" s="66">
        <f t="shared" si="66"/>
        <v>0</v>
      </c>
      <c r="S282" s="61">
        <f t="shared" si="66"/>
        <v>0</v>
      </c>
      <c r="T282" s="66">
        <f t="shared" si="66"/>
        <v>0</v>
      </c>
      <c r="U282" s="66">
        <f t="shared" si="66"/>
        <v>0</v>
      </c>
      <c r="V282" s="66">
        <f t="shared" si="66"/>
        <v>0</v>
      </c>
      <c r="W282" s="61">
        <f t="shared" si="66"/>
        <v>0</v>
      </c>
      <c r="X282" s="66">
        <f t="shared" si="66"/>
        <v>0</v>
      </c>
      <c r="Y282" s="66">
        <f t="shared" si="66"/>
        <v>0</v>
      </c>
      <c r="Z282" s="66">
        <f t="shared" si="66"/>
        <v>0</v>
      </c>
      <c r="AA282" s="61">
        <f t="shared" si="66"/>
        <v>0</v>
      </c>
      <c r="AB282" s="66">
        <f t="shared" si="66"/>
        <v>0</v>
      </c>
      <c r="AC282" s="66">
        <f t="shared" si="66"/>
        <v>0</v>
      </c>
      <c r="AD282" s="66">
        <f t="shared" si="66"/>
        <v>0</v>
      </c>
      <c r="AE282" s="61">
        <f t="shared" si="66"/>
        <v>0</v>
      </c>
      <c r="AF282" s="68">
        <f t="shared" si="60"/>
        <v>0</v>
      </c>
    </row>
    <row r="283" spans="1:32" hidden="1" x14ac:dyDescent="0.35">
      <c r="A283" s="59" t="s">
        <v>332</v>
      </c>
      <c r="B283" s="54">
        <v>7</v>
      </c>
      <c r="C283" s="60" t="s">
        <v>225</v>
      </c>
      <c r="D283" s="60"/>
      <c r="E283" s="60"/>
      <c r="F283" s="60"/>
      <c r="G283" s="61">
        <f>SUM(D283:F283)</f>
        <v>0</v>
      </c>
      <c r="H283" s="60"/>
      <c r="I283" s="60"/>
      <c r="J283" s="60"/>
      <c r="K283" s="61">
        <f>SUM(H283:J283)</f>
        <v>0</v>
      </c>
      <c r="L283" s="60">
        <v>1</v>
      </c>
      <c r="M283" s="60">
        <v>1</v>
      </c>
      <c r="N283" s="60"/>
      <c r="O283" s="61">
        <f>SUM(L283:N283)</f>
        <v>2</v>
      </c>
      <c r="P283" s="60"/>
      <c r="Q283" s="60"/>
      <c r="R283" s="60"/>
      <c r="S283" s="61">
        <f>SUM(P283:R283)</f>
        <v>0</v>
      </c>
      <c r="T283" s="60"/>
      <c r="U283" s="60"/>
      <c r="V283" s="60"/>
      <c r="W283" s="61">
        <f>SUM(T283:V283)</f>
        <v>0</v>
      </c>
      <c r="X283" s="60"/>
      <c r="Y283" s="60"/>
      <c r="Z283" s="60"/>
      <c r="AA283" s="61">
        <f>SUM(X283:Z283)</f>
        <v>0</v>
      </c>
      <c r="AB283" s="60"/>
      <c r="AC283" s="60"/>
      <c r="AD283" s="60"/>
      <c r="AE283" s="61">
        <f>SUM(AB283:AD283)</f>
        <v>0</v>
      </c>
      <c r="AF283" s="62">
        <f t="shared" si="60"/>
        <v>2</v>
      </c>
    </row>
    <row r="284" spans="1:32" hidden="1" x14ac:dyDescent="0.35">
      <c r="A284" s="111" t="s">
        <v>284</v>
      </c>
      <c r="C284" s="63" t="s">
        <v>227</v>
      </c>
      <c r="D284" s="63"/>
      <c r="E284" s="63"/>
      <c r="F284" s="63"/>
      <c r="G284" s="61">
        <f>SUM(D284:F284)</f>
        <v>0</v>
      </c>
      <c r="H284" s="63"/>
      <c r="I284" s="63"/>
      <c r="J284" s="63"/>
      <c r="K284" s="61">
        <f>SUM(H284:J284)</f>
        <v>0</v>
      </c>
      <c r="L284" s="63"/>
      <c r="M284" s="63"/>
      <c r="N284" s="63"/>
      <c r="O284" s="61">
        <f>SUM(L284:N284)</f>
        <v>0</v>
      </c>
      <c r="P284" s="63"/>
      <c r="Q284" s="63"/>
      <c r="R284" s="63"/>
      <c r="S284" s="61">
        <f>SUM(P284:R284)</f>
        <v>0</v>
      </c>
      <c r="T284" s="63"/>
      <c r="U284" s="63"/>
      <c r="V284" s="63"/>
      <c r="W284" s="61">
        <f>SUM(T284:V284)</f>
        <v>0</v>
      </c>
      <c r="X284" s="63"/>
      <c r="Y284" s="63"/>
      <c r="Z284" s="63"/>
      <c r="AA284" s="61">
        <f>SUM(X284:Z284)</f>
        <v>0</v>
      </c>
      <c r="AB284" s="63"/>
      <c r="AC284" s="63"/>
      <c r="AD284" s="63"/>
      <c r="AE284" s="61">
        <f>SUM(AB284:AD284)</f>
        <v>0</v>
      </c>
      <c r="AF284" s="64">
        <f t="shared" si="60"/>
        <v>0</v>
      </c>
    </row>
    <row r="285" spans="1:32" hidden="1" x14ac:dyDescent="0.35">
      <c r="A285" s="111"/>
      <c r="C285" s="60" t="s">
        <v>228</v>
      </c>
      <c r="D285" s="60">
        <v>3</v>
      </c>
      <c r="E285" s="60"/>
      <c r="F285" s="60"/>
      <c r="G285" s="61">
        <f>SUM(D285:F285)</f>
        <v>3</v>
      </c>
      <c r="H285" s="60">
        <v>1</v>
      </c>
      <c r="I285" s="60"/>
      <c r="J285" s="60"/>
      <c r="K285" s="61">
        <f>SUM(H285:J285)</f>
        <v>1</v>
      </c>
      <c r="L285" s="60"/>
      <c r="M285" s="60"/>
      <c r="N285" s="60"/>
      <c r="O285" s="61">
        <f>SUM(L285:N285)</f>
        <v>0</v>
      </c>
      <c r="P285" s="60"/>
      <c r="Q285" s="60"/>
      <c r="R285" s="60"/>
      <c r="S285" s="61">
        <f>SUM(P285:R285)</f>
        <v>0</v>
      </c>
      <c r="T285" s="60"/>
      <c r="U285" s="60"/>
      <c r="V285" s="60"/>
      <c r="W285" s="61">
        <f>SUM(T285:V285)</f>
        <v>0</v>
      </c>
      <c r="X285" s="60"/>
      <c r="Y285" s="60"/>
      <c r="Z285" s="60"/>
      <c r="AA285" s="61">
        <f>SUM(X285:Z285)</f>
        <v>0</v>
      </c>
      <c r="AB285" s="60"/>
      <c r="AC285" s="60"/>
      <c r="AD285" s="60"/>
      <c r="AE285" s="61">
        <f>SUM(AB285:AD285)</f>
        <v>0</v>
      </c>
      <c r="AF285" s="65">
        <f t="shared" si="60"/>
        <v>4</v>
      </c>
    </row>
    <row r="286" spans="1:32" hidden="1" x14ac:dyDescent="0.35">
      <c r="A286" s="111"/>
      <c r="C286" s="63" t="s">
        <v>235</v>
      </c>
      <c r="D286" s="63">
        <v>1</v>
      </c>
      <c r="E286" s="63"/>
      <c r="F286" s="63"/>
      <c r="G286" s="61">
        <f>SUM(D286:F286)</f>
        <v>1</v>
      </c>
      <c r="H286" s="63"/>
      <c r="I286" s="63"/>
      <c r="J286" s="63"/>
      <c r="K286" s="61">
        <f>SUM(H286:J286)</f>
        <v>0</v>
      </c>
      <c r="L286" s="63"/>
      <c r="M286" s="63"/>
      <c r="N286" s="63"/>
      <c r="O286" s="61">
        <f>SUM(L286:N286)</f>
        <v>0</v>
      </c>
      <c r="P286" s="63"/>
      <c r="Q286" s="63"/>
      <c r="R286" s="63"/>
      <c r="S286" s="61">
        <f>SUM(P286:R286)</f>
        <v>0</v>
      </c>
      <c r="T286" s="63"/>
      <c r="U286" s="63"/>
      <c r="V286" s="63"/>
      <c r="W286" s="61">
        <f>SUM(T286:V286)</f>
        <v>0</v>
      </c>
      <c r="X286" s="63"/>
      <c r="Y286" s="63"/>
      <c r="Z286" s="63"/>
      <c r="AA286" s="61">
        <f>SUM(X286:Z286)</f>
        <v>0</v>
      </c>
      <c r="AB286" s="63"/>
      <c r="AC286" s="63"/>
      <c r="AD286" s="63"/>
      <c r="AE286" s="61">
        <f>SUM(AB286:AD286)</f>
        <v>0</v>
      </c>
      <c r="AF286" s="63">
        <f t="shared" si="60"/>
        <v>1</v>
      </c>
    </row>
    <row r="287" spans="1:32" x14ac:dyDescent="0.35">
      <c r="A287" s="66" t="s">
        <v>332</v>
      </c>
      <c r="B287" s="67">
        <v>7</v>
      </c>
      <c r="C287" s="66"/>
      <c r="D287" s="66">
        <f t="shared" ref="D287:AE287" si="67">SUM(D283:D286)</f>
        <v>4</v>
      </c>
      <c r="E287" s="66">
        <f t="shared" si="67"/>
        <v>0</v>
      </c>
      <c r="F287" s="66">
        <f t="shared" si="67"/>
        <v>0</v>
      </c>
      <c r="G287" s="61">
        <f t="shared" si="67"/>
        <v>4</v>
      </c>
      <c r="H287" s="66">
        <f t="shared" si="67"/>
        <v>1</v>
      </c>
      <c r="I287" s="66">
        <f t="shared" si="67"/>
        <v>0</v>
      </c>
      <c r="J287" s="66">
        <f t="shared" si="67"/>
        <v>0</v>
      </c>
      <c r="K287" s="61">
        <f t="shared" si="67"/>
        <v>1</v>
      </c>
      <c r="L287" s="66">
        <f t="shared" si="67"/>
        <v>1</v>
      </c>
      <c r="M287" s="66">
        <f t="shared" si="67"/>
        <v>1</v>
      </c>
      <c r="N287" s="66">
        <f t="shared" si="67"/>
        <v>0</v>
      </c>
      <c r="O287" s="61">
        <f t="shared" si="67"/>
        <v>2</v>
      </c>
      <c r="P287" s="66">
        <f t="shared" si="67"/>
        <v>0</v>
      </c>
      <c r="Q287" s="66">
        <f t="shared" si="67"/>
        <v>0</v>
      </c>
      <c r="R287" s="66">
        <f t="shared" si="67"/>
        <v>0</v>
      </c>
      <c r="S287" s="61">
        <f t="shared" si="67"/>
        <v>0</v>
      </c>
      <c r="T287" s="66">
        <f t="shared" si="67"/>
        <v>0</v>
      </c>
      <c r="U287" s="66">
        <f t="shared" si="67"/>
        <v>0</v>
      </c>
      <c r="V287" s="66">
        <f t="shared" si="67"/>
        <v>0</v>
      </c>
      <c r="W287" s="61">
        <f t="shared" si="67"/>
        <v>0</v>
      </c>
      <c r="X287" s="66">
        <f t="shared" si="67"/>
        <v>0</v>
      </c>
      <c r="Y287" s="66">
        <f t="shared" si="67"/>
        <v>0</v>
      </c>
      <c r="Z287" s="66">
        <f t="shared" si="67"/>
        <v>0</v>
      </c>
      <c r="AA287" s="61">
        <f t="shared" si="67"/>
        <v>0</v>
      </c>
      <c r="AB287" s="66">
        <f t="shared" si="67"/>
        <v>0</v>
      </c>
      <c r="AC287" s="66">
        <f t="shared" si="67"/>
        <v>0</v>
      </c>
      <c r="AD287" s="66">
        <f t="shared" si="67"/>
        <v>0</v>
      </c>
      <c r="AE287" s="61">
        <f t="shared" si="67"/>
        <v>0</v>
      </c>
      <c r="AF287" s="68">
        <f t="shared" si="60"/>
        <v>7</v>
      </c>
    </row>
    <row r="288" spans="1:32" hidden="1" x14ac:dyDescent="0.35">
      <c r="A288" s="59" t="s">
        <v>113</v>
      </c>
      <c r="B288" s="54">
        <v>5</v>
      </c>
      <c r="C288" s="60" t="s">
        <v>225</v>
      </c>
      <c r="D288" s="60">
        <v>5</v>
      </c>
      <c r="E288" s="60"/>
      <c r="F288" s="60"/>
      <c r="G288" s="61">
        <f>SUM(D288:F288)</f>
        <v>5</v>
      </c>
      <c r="H288" s="60"/>
      <c r="I288" s="60"/>
      <c r="J288" s="60"/>
      <c r="K288" s="61">
        <f>SUM(H288:J288)</f>
        <v>0</v>
      </c>
      <c r="L288" s="60">
        <v>6</v>
      </c>
      <c r="M288" s="60"/>
      <c r="N288" s="60"/>
      <c r="O288" s="61">
        <f>SUM(L288:N288)</f>
        <v>6</v>
      </c>
      <c r="P288" s="60"/>
      <c r="Q288" s="60"/>
      <c r="R288" s="60"/>
      <c r="S288" s="61">
        <f>SUM(P288:R288)</f>
        <v>0</v>
      </c>
      <c r="T288" s="60"/>
      <c r="U288" s="60"/>
      <c r="V288" s="60"/>
      <c r="W288" s="61">
        <f>SUM(T288:V288)</f>
        <v>0</v>
      </c>
      <c r="X288" s="60">
        <v>1</v>
      </c>
      <c r="Y288" s="60"/>
      <c r="Z288" s="60"/>
      <c r="AA288" s="61">
        <f>SUM(X288:Z288)</f>
        <v>1</v>
      </c>
      <c r="AB288" s="60">
        <v>3</v>
      </c>
      <c r="AC288" s="60"/>
      <c r="AD288" s="60"/>
      <c r="AE288" s="61">
        <f>SUM(AB288:AD288)</f>
        <v>3</v>
      </c>
      <c r="AF288" s="62">
        <f t="shared" si="60"/>
        <v>15</v>
      </c>
    </row>
    <row r="289" spans="1:32" hidden="1" x14ac:dyDescent="0.35">
      <c r="A289" s="111" t="s">
        <v>238</v>
      </c>
      <c r="C289" s="63" t="s">
        <v>227</v>
      </c>
      <c r="D289" s="63">
        <v>4</v>
      </c>
      <c r="E289" s="63"/>
      <c r="F289" s="63"/>
      <c r="G289" s="61">
        <f>SUM(D289:F289)</f>
        <v>4</v>
      </c>
      <c r="H289" s="63"/>
      <c r="I289" s="63"/>
      <c r="J289" s="63"/>
      <c r="K289" s="61">
        <f>SUM(H289:J289)</f>
        <v>0</v>
      </c>
      <c r="L289" s="63">
        <v>6</v>
      </c>
      <c r="M289" s="63"/>
      <c r="N289" s="63"/>
      <c r="O289" s="61">
        <f>SUM(L289:N289)</f>
        <v>6</v>
      </c>
      <c r="P289" s="63"/>
      <c r="Q289" s="63"/>
      <c r="R289" s="63"/>
      <c r="S289" s="61">
        <f>SUM(P289:R289)</f>
        <v>0</v>
      </c>
      <c r="T289" s="63"/>
      <c r="U289" s="63"/>
      <c r="V289" s="63"/>
      <c r="W289" s="61">
        <f>SUM(T289:V289)</f>
        <v>0</v>
      </c>
      <c r="X289" s="63">
        <v>2</v>
      </c>
      <c r="Y289" s="63"/>
      <c r="Z289" s="63"/>
      <c r="AA289" s="61">
        <f>SUM(X289:Z289)</f>
        <v>2</v>
      </c>
      <c r="AB289" s="63"/>
      <c r="AC289" s="63"/>
      <c r="AD289" s="63"/>
      <c r="AE289" s="61">
        <f>SUM(AB289:AD289)</f>
        <v>0</v>
      </c>
      <c r="AF289" s="64">
        <f t="shared" si="60"/>
        <v>12</v>
      </c>
    </row>
    <row r="290" spans="1:32" hidden="1" x14ac:dyDescent="0.35">
      <c r="A290" s="111"/>
      <c r="C290" s="60" t="s">
        <v>228</v>
      </c>
      <c r="D290" s="60">
        <v>6</v>
      </c>
      <c r="E290" s="60"/>
      <c r="F290" s="60"/>
      <c r="G290" s="61">
        <f>SUM(D290:F290)</f>
        <v>6</v>
      </c>
      <c r="H290" s="60"/>
      <c r="I290" s="60"/>
      <c r="J290" s="60"/>
      <c r="K290" s="61">
        <f>SUM(H290:J290)</f>
        <v>0</v>
      </c>
      <c r="L290" s="60">
        <v>3</v>
      </c>
      <c r="M290" s="60"/>
      <c r="N290" s="60"/>
      <c r="O290" s="61">
        <f>SUM(L290:N290)</f>
        <v>3</v>
      </c>
      <c r="P290" s="60"/>
      <c r="Q290" s="60"/>
      <c r="R290" s="60"/>
      <c r="S290" s="61">
        <f>SUM(P290:R290)</f>
        <v>0</v>
      </c>
      <c r="T290" s="60"/>
      <c r="U290" s="60"/>
      <c r="V290" s="60"/>
      <c r="W290" s="61">
        <f>SUM(T290:V290)</f>
        <v>0</v>
      </c>
      <c r="X290" s="60">
        <v>2</v>
      </c>
      <c r="Y290" s="60"/>
      <c r="Z290" s="60"/>
      <c r="AA290" s="61">
        <f>SUM(X290:Z290)</f>
        <v>2</v>
      </c>
      <c r="AB290" s="60">
        <v>1</v>
      </c>
      <c r="AC290" s="60"/>
      <c r="AD290" s="60"/>
      <c r="AE290" s="61">
        <f>SUM(AB290:AD290)</f>
        <v>1</v>
      </c>
      <c r="AF290" s="65">
        <f t="shared" si="60"/>
        <v>12</v>
      </c>
    </row>
    <row r="291" spans="1:32" hidden="1" x14ac:dyDescent="0.35">
      <c r="A291" s="111"/>
      <c r="C291" s="63" t="s">
        <v>235</v>
      </c>
      <c r="D291" s="63">
        <v>12</v>
      </c>
      <c r="E291" s="63">
        <v>1</v>
      </c>
      <c r="F291" s="63"/>
      <c r="G291" s="61">
        <f>SUM(D291:F291)</f>
        <v>13</v>
      </c>
      <c r="H291" s="63"/>
      <c r="I291" s="63"/>
      <c r="J291" s="63"/>
      <c r="K291" s="61">
        <f>SUM(H291:J291)</f>
        <v>0</v>
      </c>
      <c r="L291" s="63">
        <v>1</v>
      </c>
      <c r="M291" s="63">
        <v>2</v>
      </c>
      <c r="N291" s="63"/>
      <c r="O291" s="61">
        <f>SUM(L291:N291)</f>
        <v>3</v>
      </c>
      <c r="P291" s="63"/>
      <c r="Q291" s="63"/>
      <c r="R291" s="63"/>
      <c r="S291" s="61">
        <f>SUM(P291:R291)</f>
        <v>0</v>
      </c>
      <c r="T291" s="63"/>
      <c r="U291" s="63"/>
      <c r="V291" s="63"/>
      <c r="W291" s="61">
        <f>SUM(T291:V291)</f>
        <v>0</v>
      </c>
      <c r="X291" s="63">
        <v>2</v>
      </c>
      <c r="Y291" s="63"/>
      <c r="Z291" s="63"/>
      <c r="AA291" s="61">
        <f>SUM(X291:Z291)</f>
        <v>2</v>
      </c>
      <c r="AB291" s="63">
        <v>3</v>
      </c>
      <c r="AC291" s="63"/>
      <c r="AD291" s="63"/>
      <c r="AE291" s="61">
        <f>SUM(AB291:AD291)</f>
        <v>3</v>
      </c>
      <c r="AF291" s="63">
        <f t="shared" si="60"/>
        <v>21</v>
      </c>
    </row>
    <row r="292" spans="1:32" x14ac:dyDescent="0.35">
      <c r="A292" s="66" t="s">
        <v>113</v>
      </c>
      <c r="B292" s="67">
        <v>5</v>
      </c>
      <c r="C292" s="66"/>
      <c r="D292" s="66">
        <f t="shared" ref="D292:AE292" si="68">SUM(D288:D291)</f>
        <v>27</v>
      </c>
      <c r="E292" s="66">
        <f t="shared" si="68"/>
        <v>1</v>
      </c>
      <c r="F292" s="66">
        <f t="shared" si="68"/>
        <v>0</v>
      </c>
      <c r="G292" s="61">
        <f t="shared" si="68"/>
        <v>28</v>
      </c>
      <c r="H292" s="66">
        <f t="shared" si="68"/>
        <v>0</v>
      </c>
      <c r="I292" s="66">
        <f t="shared" si="68"/>
        <v>0</v>
      </c>
      <c r="J292" s="66">
        <f t="shared" si="68"/>
        <v>0</v>
      </c>
      <c r="K292" s="61">
        <f t="shared" si="68"/>
        <v>0</v>
      </c>
      <c r="L292" s="66">
        <f t="shared" si="68"/>
        <v>16</v>
      </c>
      <c r="M292" s="66">
        <f t="shared" si="68"/>
        <v>2</v>
      </c>
      <c r="N292" s="66">
        <f t="shared" si="68"/>
        <v>0</v>
      </c>
      <c r="O292" s="61">
        <f t="shared" si="68"/>
        <v>18</v>
      </c>
      <c r="P292" s="66">
        <f t="shared" si="68"/>
        <v>0</v>
      </c>
      <c r="Q292" s="66">
        <f t="shared" si="68"/>
        <v>0</v>
      </c>
      <c r="R292" s="66">
        <f t="shared" si="68"/>
        <v>0</v>
      </c>
      <c r="S292" s="61">
        <f t="shared" si="68"/>
        <v>0</v>
      </c>
      <c r="T292" s="66">
        <f t="shared" si="68"/>
        <v>0</v>
      </c>
      <c r="U292" s="66">
        <f t="shared" si="68"/>
        <v>0</v>
      </c>
      <c r="V292" s="66">
        <f t="shared" si="68"/>
        <v>0</v>
      </c>
      <c r="W292" s="61">
        <f t="shared" si="68"/>
        <v>0</v>
      </c>
      <c r="X292" s="66">
        <f t="shared" si="68"/>
        <v>7</v>
      </c>
      <c r="Y292" s="66">
        <f t="shared" si="68"/>
        <v>0</v>
      </c>
      <c r="Z292" s="66">
        <f t="shared" si="68"/>
        <v>0</v>
      </c>
      <c r="AA292" s="61">
        <f t="shared" si="68"/>
        <v>7</v>
      </c>
      <c r="AB292" s="66">
        <f t="shared" si="68"/>
        <v>7</v>
      </c>
      <c r="AC292" s="66">
        <f t="shared" si="68"/>
        <v>0</v>
      </c>
      <c r="AD292" s="66">
        <f t="shared" si="68"/>
        <v>0</v>
      </c>
      <c r="AE292" s="61">
        <f t="shared" si="68"/>
        <v>7</v>
      </c>
      <c r="AF292" s="68">
        <f t="shared" si="60"/>
        <v>60</v>
      </c>
    </row>
    <row r="293" spans="1:32" hidden="1" x14ac:dyDescent="0.35">
      <c r="A293" s="59" t="s">
        <v>333</v>
      </c>
      <c r="B293" s="54">
        <v>4</v>
      </c>
      <c r="C293" s="60" t="s">
        <v>225</v>
      </c>
      <c r="D293" s="60"/>
      <c r="E293" s="60"/>
      <c r="F293" s="60"/>
      <c r="G293" s="61">
        <f>SUM(D293:F293)</f>
        <v>0</v>
      </c>
      <c r="H293" s="60"/>
      <c r="I293" s="60"/>
      <c r="J293" s="60"/>
      <c r="K293" s="61">
        <f>SUM(H293:J293)</f>
        <v>0</v>
      </c>
      <c r="L293" s="60"/>
      <c r="M293" s="60"/>
      <c r="N293" s="60"/>
      <c r="O293" s="61">
        <f>SUM(L293:N293)</f>
        <v>0</v>
      </c>
      <c r="P293" s="60"/>
      <c r="Q293" s="60"/>
      <c r="R293" s="60"/>
      <c r="S293" s="61">
        <f>SUM(P293:R293)</f>
        <v>0</v>
      </c>
      <c r="T293" s="60"/>
      <c r="U293" s="60"/>
      <c r="V293" s="60"/>
      <c r="W293" s="61">
        <f>SUM(T293:V293)</f>
        <v>0</v>
      </c>
      <c r="X293" s="60">
        <v>1</v>
      </c>
      <c r="Y293" s="60"/>
      <c r="Z293" s="60"/>
      <c r="AA293" s="61">
        <f>SUM(X293:Z293)</f>
        <v>1</v>
      </c>
      <c r="AB293" s="60"/>
      <c r="AC293" s="60"/>
      <c r="AD293" s="60"/>
      <c r="AE293" s="61">
        <f>SUM(AB293:AD293)</f>
        <v>0</v>
      </c>
      <c r="AF293" s="62">
        <f t="shared" si="60"/>
        <v>1</v>
      </c>
    </row>
    <row r="294" spans="1:32" hidden="1" x14ac:dyDescent="0.35">
      <c r="A294" s="111" t="s">
        <v>238</v>
      </c>
      <c r="C294" s="63" t="s">
        <v>227</v>
      </c>
      <c r="D294" s="63"/>
      <c r="E294" s="63"/>
      <c r="F294" s="63"/>
      <c r="G294" s="61">
        <f>SUM(D294:F294)</f>
        <v>0</v>
      </c>
      <c r="H294" s="63"/>
      <c r="I294" s="63"/>
      <c r="J294" s="63"/>
      <c r="K294" s="61">
        <f>SUM(H294:J294)</f>
        <v>0</v>
      </c>
      <c r="L294" s="63"/>
      <c r="M294" s="63"/>
      <c r="N294" s="63"/>
      <c r="O294" s="61">
        <f>SUM(L294:N294)</f>
        <v>0</v>
      </c>
      <c r="P294" s="63"/>
      <c r="Q294" s="63"/>
      <c r="R294" s="63"/>
      <c r="S294" s="61">
        <f>SUM(P294:R294)</f>
        <v>0</v>
      </c>
      <c r="T294" s="63"/>
      <c r="U294" s="63"/>
      <c r="V294" s="63"/>
      <c r="W294" s="61">
        <f>SUM(T294:V294)</f>
        <v>0</v>
      </c>
      <c r="X294" s="63"/>
      <c r="Y294" s="63"/>
      <c r="Z294" s="63"/>
      <c r="AA294" s="61">
        <f>SUM(X294:Z294)</f>
        <v>0</v>
      </c>
      <c r="AB294" s="63"/>
      <c r="AC294" s="63"/>
      <c r="AD294" s="63"/>
      <c r="AE294" s="61">
        <f>SUM(AB294:AD294)</f>
        <v>0</v>
      </c>
      <c r="AF294" s="64">
        <f t="shared" si="60"/>
        <v>0</v>
      </c>
    </row>
    <row r="295" spans="1:32" hidden="1" x14ac:dyDescent="0.35">
      <c r="A295" s="111"/>
      <c r="C295" s="60" t="s">
        <v>228</v>
      </c>
      <c r="D295" s="60"/>
      <c r="E295" s="60"/>
      <c r="F295" s="60"/>
      <c r="G295" s="61">
        <f>SUM(D295:F295)</f>
        <v>0</v>
      </c>
      <c r="H295" s="60"/>
      <c r="I295" s="60"/>
      <c r="J295" s="60"/>
      <c r="K295" s="61">
        <f>SUM(H295:J295)</f>
        <v>0</v>
      </c>
      <c r="L295" s="60"/>
      <c r="M295" s="60"/>
      <c r="N295" s="60"/>
      <c r="O295" s="61">
        <f>SUM(L295:N295)</f>
        <v>0</v>
      </c>
      <c r="P295" s="60"/>
      <c r="Q295" s="60"/>
      <c r="R295" s="60"/>
      <c r="S295" s="61">
        <f>SUM(P295:R295)</f>
        <v>0</v>
      </c>
      <c r="T295" s="60"/>
      <c r="U295" s="60"/>
      <c r="V295" s="60"/>
      <c r="W295" s="61">
        <f>SUM(T295:V295)</f>
        <v>0</v>
      </c>
      <c r="X295" s="60"/>
      <c r="Y295" s="60"/>
      <c r="Z295" s="60"/>
      <c r="AA295" s="61">
        <f>SUM(X295:Z295)</f>
        <v>0</v>
      </c>
      <c r="AB295" s="60"/>
      <c r="AC295" s="60"/>
      <c r="AD295" s="60"/>
      <c r="AE295" s="61">
        <f>SUM(AB295:AD295)</f>
        <v>0</v>
      </c>
      <c r="AF295" s="65">
        <f t="shared" si="60"/>
        <v>0</v>
      </c>
    </row>
    <row r="296" spans="1:32" hidden="1" x14ac:dyDescent="0.35">
      <c r="A296" s="111"/>
      <c r="C296" s="63" t="s">
        <v>235</v>
      </c>
      <c r="D296" s="63"/>
      <c r="E296" s="63"/>
      <c r="F296" s="63"/>
      <c r="G296" s="61">
        <f>SUM(D296:F296)</f>
        <v>0</v>
      </c>
      <c r="H296" s="63"/>
      <c r="I296" s="63"/>
      <c r="J296" s="63"/>
      <c r="K296" s="61">
        <f>SUM(H296:J296)</f>
        <v>0</v>
      </c>
      <c r="L296" s="63"/>
      <c r="M296" s="63"/>
      <c r="N296" s="63"/>
      <c r="O296" s="61">
        <f>SUM(L296:N296)</f>
        <v>0</v>
      </c>
      <c r="P296" s="63"/>
      <c r="Q296" s="63"/>
      <c r="R296" s="63"/>
      <c r="S296" s="61">
        <f>SUM(P296:R296)</f>
        <v>0</v>
      </c>
      <c r="T296" s="63"/>
      <c r="U296" s="63"/>
      <c r="V296" s="63"/>
      <c r="W296" s="61">
        <f>SUM(T296:V296)</f>
        <v>0</v>
      </c>
      <c r="X296" s="63">
        <v>1</v>
      </c>
      <c r="Y296" s="63"/>
      <c r="Z296" s="63"/>
      <c r="AA296" s="61">
        <f>SUM(X296:Z296)</f>
        <v>1</v>
      </c>
      <c r="AB296" s="63"/>
      <c r="AC296" s="63"/>
      <c r="AD296" s="63"/>
      <c r="AE296" s="61">
        <f>SUM(AB296:AD296)</f>
        <v>0</v>
      </c>
      <c r="AF296" s="63">
        <f t="shared" si="60"/>
        <v>1</v>
      </c>
    </row>
    <row r="297" spans="1:32" x14ac:dyDescent="0.35">
      <c r="A297" s="66" t="s">
        <v>333</v>
      </c>
      <c r="B297" s="67">
        <v>4</v>
      </c>
      <c r="C297" s="66"/>
      <c r="D297" s="66">
        <f t="shared" ref="D297:AE297" si="69">SUM(D293:D296)</f>
        <v>0</v>
      </c>
      <c r="E297" s="66">
        <f t="shared" si="69"/>
        <v>0</v>
      </c>
      <c r="F297" s="66">
        <f t="shared" si="69"/>
        <v>0</v>
      </c>
      <c r="G297" s="61">
        <f t="shared" si="69"/>
        <v>0</v>
      </c>
      <c r="H297" s="66">
        <f t="shared" si="69"/>
        <v>0</v>
      </c>
      <c r="I297" s="66">
        <f t="shared" si="69"/>
        <v>0</v>
      </c>
      <c r="J297" s="66">
        <f t="shared" si="69"/>
        <v>0</v>
      </c>
      <c r="K297" s="61">
        <f t="shared" si="69"/>
        <v>0</v>
      </c>
      <c r="L297" s="66">
        <f t="shared" si="69"/>
        <v>0</v>
      </c>
      <c r="M297" s="66">
        <f t="shared" si="69"/>
        <v>0</v>
      </c>
      <c r="N297" s="66">
        <f t="shared" si="69"/>
        <v>0</v>
      </c>
      <c r="O297" s="61">
        <f t="shared" si="69"/>
        <v>0</v>
      </c>
      <c r="P297" s="66">
        <f t="shared" si="69"/>
        <v>0</v>
      </c>
      <c r="Q297" s="66">
        <f t="shared" si="69"/>
        <v>0</v>
      </c>
      <c r="R297" s="66">
        <f t="shared" si="69"/>
        <v>0</v>
      </c>
      <c r="S297" s="61">
        <f t="shared" si="69"/>
        <v>0</v>
      </c>
      <c r="T297" s="66">
        <f t="shared" si="69"/>
        <v>0</v>
      </c>
      <c r="U297" s="66">
        <f t="shared" si="69"/>
        <v>0</v>
      </c>
      <c r="V297" s="66">
        <f t="shared" si="69"/>
        <v>0</v>
      </c>
      <c r="W297" s="61">
        <f t="shared" si="69"/>
        <v>0</v>
      </c>
      <c r="X297" s="66">
        <f t="shared" si="69"/>
        <v>2</v>
      </c>
      <c r="Y297" s="66">
        <f t="shared" si="69"/>
        <v>0</v>
      </c>
      <c r="Z297" s="66">
        <f t="shared" si="69"/>
        <v>0</v>
      </c>
      <c r="AA297" s="61">
        <f t="shared" si="69"/>
        <v>2</v>
      </c>
      <c r="AB297" s="66">
        <f t="shared" si="69"/>
        <v>0</v>
      </c>
      <c r="AC297" s="66">
        <f t="shared" si="69"/>
        <v>0</v>
      </c>
      <c r="AD297" s="66">
        <f t="shared" si="69"/>
        <v>0</v>
      </c>
      <c r="AE297" s="61">
        <f t="shared" si="69"/>
        <v>0</v>
      </c>
      <c r="AF297" s="68">
        <f t="shared" si="60"/>
        <v>2</v>
      </c>
    </row>
    <row r="298" spans="1:32" hidden="1" x14ac:dyDescent="0.35">
      <c r="A298" s="59" t="s">
        <v>334</v>
      </c>
      <c r="B298" s="54" t="s">
        <v>261</v>
      </c>
      <c r="C298" s="60" t="s">
        <v>225</v>
      </c>
      <c r="D298" s="60">
        <v>9</v>
      </c>
      <c r="E298" s="60"/>
      <c r="F298" s="60"/>
      <c r="G298" s="61">
        <f>SUM(D298:F298)</f>
        <v>9</v>
      </c>
      <c r="H298" s="60"/>
      <c r="I298" s="60"/>
      <c r="J298" s="60"/>
      <c r="K298" s="61">
        <f>SUM(H298:J298)</f>
        <v>0</v>
      </c>
      <c r="L298" s="60">
        <v>1</v>
      </c>
      <c r="M298" s="60"/>
      <c r="N298" s="60"/>
      <c r="O298" s="61">
        <f>SUM(L298:N298)</f>
        <v>1</v>
      </c>
      <c r="P298" s="60"/>
      <c r="Q298" s="60"/>
      <c r="R298" s="60"/>
      <c r="S298" s="61">
        <f>SUM(P298:R298)</f>
        <v>0</v>
      </c>
      <c r="T298" s="60"/>
      <c r="U298" s="60"/>
      <c r="V298" s="60"/>
      <c r="W298" s="61">
        <f>SUM(T298:V298)</f>
        <v>0</v>
      </c>
      <c r="X298" s="60"/>
      <c r="Y298" s="60"/>
      <c r="Z298" s="60"/>
      <c r="AA298" s="61">
        <f>SUM(X298:Z298)</f>
        <v>0</v>
      </c>
      <c r="AB298" s="60"/>
      <c r="AC298" s="60"/>
      <c r="AD298" s="60"/>
      <c r="AE298" s="61">
        <f>SUM(AB298:AD298)</f>
        <v>0</v>
      </c>
      <c r="AF298" s="62">
        <f t="shared" si="60"/>
        <v>10</v>
      </c>
    </row>
    <row r="299" spans="1:32" hidden="1" x14ac:dyDescent="0.35">
      <c r="A299" s="111" t="s">
        <v>260</v>
      </c>
      <c r="C299" s="63" t="s">
        <v>227</v>
      </c>
      <c r="D299" s="63">
        <v>8</v>
      </c>
      <c r="E299" s="63">
        <v>1</v>
      </c>
      <c r="F299" s="63">
        <v>1</v>
      </c>
      <c r="G299" s="61">
        <f>SUM(D299:F299)</f>
        <v>10</v>
      </c>
      <c r="H299" s="63"/>
      <c r="I299" s="63"/>
      <c r="J299" s="63"/>
      <c r="K299" s="61">
        <f>SUM(H299:J299)</f>
        <v>0</v>
      </c>
      <c r="L299" s="63"/>
      <c r="M299" s="63">
        <v>2</v>
      </c>
      <c r="N299" s="63"/>
      <c r="O299" s="61">
        <f>SUM(L299:N299)</f>
        <v>2</v>
      </c>
      <c r="P299" s="63"/>
      <c r="Q299" s="63"/>
      <c r="R299" s="63"/>
      <c r="S299" s="61">
        <f>SUM(P299:R299)</f>
        <v>0</v>
      </c>
      <c r="T299" s="63"/>
      <c r="U299" s="63"/>
      <c r="V299" s="63"/>
      <c r="W299" s="61">
        <f>SUM(T299:V299)</f>
        <v>0</v>
      </c>
      <c r="X299" s="63">
        <v>3</v>
      </c>
      <c r="Y299" s="63"/>
      <c r="Z299" s="63"/>
      <c r="AA299" s="61">
        <f>SUM(X299:Z299)</f>
        <v>3</v>
      </c>
      <c r="AB299" s="63">
        <v>5</v>
      </c>
      <c r="AC299" s="63">
        <v>1</v>
      </c>
      <c r="AD299" s="63">
        <v>1</v>
      </c>
      <c r="AE299" s="61">
        <f>SUM(AB299:AD299)</f>
        <v>7</v>
      </c>
      <c r="AF299" s="64">
        <f t="shared" si="60"/>
        <v>22</v>
      </c>
    </row>
    <row r="300" spans="1:32" hidden="1" x14ac:dyDescent="0.35">
      <c r="A300" s="111"/>
      <c r="C300" s="60" t="s">
        <v>228</v>
      </c>
      <c r="D300" s="60">
        <v>11</v>
      </c>
      <c r="E300" s="60"/>
      <c r="F300" s="60"/>
      <c r="G300" s="61">
        <f>SUM(D300:F300)</f>
        <v>11</v>
      </c>
      <c r="H300" s="60"/>
      <c r="I300" s="60"/>
      <c r="J300" s="60"/>
      <c r="K300" s="61">
        <f>SUM(H300:J300)</f>
        <v>0</v>
      </c>
      <c r="L300" s="60">
        <v>3</v>
      </c>
      <c r="M300" s="60"/>
      <c r="N300" s="60"/>
      <c r="O300" s="61">
        <f>SUM(L300:N300)</f>
        <v>3</v>
      </c>
      <c r="P300" s="60"/>
      <c r="Q300" s="60"/>
      <c r="R300" s="60"/>
      <c r="S300" s="61">
        <f>SUM(P300:R300)</f>
        <v>0</v>
      </c>
      <c r="T300" s="60"/>
      <c r="U300" s="60"/>
      <c r="V300" s="60"/>
      <c r="W300" s="61">
        <f>SUM(T300:V300)</f>
        <v>0</v>
      </c>
      <c r="X300" s="60">
        <v>1</v>
      </c>
      <c r="Y300" s="60"/>
      <c r="Z300" s="60"/>
      <c r="AA300" s="61">
        <f>SUM(X300:Z300)</f>
        <v>1</v>
      </c>
      <c r="AB300" s="60">
        <v>6</v>
      </c>
      <c r="AC300" s="60"/>
      <c r="AD300" s="60"/>
      <c r="AE300" s="61">
        <f>SUM(AB300:AD300)</f>
        <v>6</v>
      </c>
      <c r="AF300" s="65">
        <f t="shared" si="60"/>
        <v>21</v>
      </c>
    </row>
    <row r="301" spans="1:32" hidden="1" x14ac:dyDescent="0.35">
      <c r="A301" s="111"/>
      <c r="C301" s="63" t="s">
        <v>235</v>
      </c>
      <c r="D301" s="63">
        <v>4</v>
      </c>
      <c r="E301" s="63"/>
      <c r="F301" s="63"/>
      <c r="G301" s="61">
        <f>SUM(D301:F301)</f>
        <v>4</v>
      </c>
      <c r="H301" s="63"/>
      <c r="I301" s="63"/>
      <c r="J301" s="63"/>
      <c r="K301" s="61">
        <f>SUM(H301:J301)</f>
        <v>0</v>
      </c>
      <c r="L301" s="63">
        <v>3</v>
      </c>
      <c r="M301" s="63"/>
      <c r="N301" s="63"/>
      <c r="O301" s="61">
        <f>SUM(L301:N301)</f>
        <v>3</v>
      </c>
      <c r="P301" s="63"/>
      <c r="Q301" s="63"/>
      <c r="R301" s="63"/>
      <c r="S301" s="61">
        <f>SUM(P301:R301)</f>
        <v>0</v>
      </c>
      <c r="T301" s="63"/>
      <c r="U301" s="63"/>
      <c r="V301" s="63"/>
      <c r="W301" s="61">
        <f>SUM(T301:V301)</f>
        <v>0</v>
      </c>
      <c r="X301" s="63"/>
      <c r="Y301" s="63"/>
      <c r="Z301" s="63"/>
      <c r="AA301" s="61">
        <f>SUM(X301:Z301)</f>
        <v>0</v>
      </c>
      <c r="AB301" s="63">
        <v>2</v>
      </c>
      <c r="AC301" s="63"/>
      <c r="AD301" s="63"/>
      <c r="AE301" s="61">
        <f>SUM(AB301:AD301)</f>
        <v>2</v>
      </c>
      <c r="AF301" s="63">
        <f t="shared" si="60"/>
        <v>9</v>
      </c>
    </row>
    <row r="302" spans="1:32" x14ac:dyDescent="0.35">
      <c r="A302" s="66" t="s">
        <v>334</v>
      </c>
      <c r="B302" s="67" t="s">
        <v>261</v>
      </c>
      <c r="C302" s="66"/>
      <c r="D302" s="66">
        <f t="shared" ref="D302:AE302" si="70">SUM(D298:D301)</f>
        <v>32</v>
      </c>
      <c r="E302" s="66">
        <f t="shared" si="70"/>
        <v>1</v>
      </c>
      <c r="F302" s="66">
        <f t="shared" si="70"/>
        <v>1</v>
      </c>
      <c r="G302" s="61">
        <f t="shared" si="70"/>
        <v>34</v>
      </c>
      <c r="H302" s="66">
        <f t="shared" si="70"/>
        <v>0</v>
      </c>
      <c r="I302" s="66">
        <f t="shared" si="70"/>
        <v>0</v>
      </c>
      <c r="J302" s="66">
        <f t="shared" si="70"/>
        <v>0</v>
      </c>
      <c r="K302" s="61">
        <f t="shared" si="70"/>
        <v>0</v>
      </c>
      <c r="L302" s="66">
        <f t="shared" si="70"/>
        <v>7</v>
      </c>
      <c r="M302" s="66">
        <f t="shared" si="70"/>
        <v>2</v>
      </c>
      <c r="N302" s="66">
        <f t="shared" si="70"/>
        <v>0</v>
      </c>
      <c r="O302" s="61">
        <f t="shared" si="70"/>
        <v>9</v>
      </c>
      <c r="P302" s="66">
        <f t="shared" si="70"/>
        <v>0</v>
      </c>
      <c r="Q302" s="66">
        <f t="shared" si="70"/>
        <v>0</v>
      </c>
      <c r="R302" s="66">
        <f t="shared" si="70"/>
        <v>0</v>
      </c>
      <c r="S302" s="61">
        <f t="shared" si="70"/>
        <v>0</v>
      </c>
      <c r="T302" s="66">
        <f t="shared" si="70"/>
        <v>0</v>
      </c>
      <c r="U302" s="66">
        <f t="shared" si="70"/>
        <v>0</v>
      </c>
      <c r="V302" s="66">
        <f t="shared" si="70"/>
        <v>0</v>
      </c>
      <c r="W302" s="61">
        <f t="shared" si="70"/>
        <v>0</v>
      </c>
      <c r="X302" s="66">
        <f t="shared" si="70"/>
        <v>4</v>
      </c>
      <c r="Y302" s="66">
        <f t="shared" si="70"/>
        <v>0</v>
      </c>
      <c r="Z302" s="66">
        <f t="shared" si="70"/>
        <v>0</v>
      </c>
      <c r="AA302" s="61">
        <f t="shared" si="70"/>
        <v>4</v>
      </c>
      <c r="AB302" s="66">
        <f t="shared" si="70"/>
        <v>13</v>
      </c>
      <c r="AC302" s="66">
        <f t="shared" si="70"/>
        <v>1</v>
      </c>
      <c r="AD302" s="66">
        <f t="shared" si="70"/>
        <v>1</v>
      </c>
      <c r="AE302" s="61">
        <f t="shared" si="70"/>
        <v>15</v>
      </c>
      <c r="AF302" s="68">
        <f t="shared" si="60"/>
        <v>62</v>
      </c>
    </row>
    <row r="303" spans="1:32" hidden="1" x14ac:dyDescent="0.35">
      <c r="A303" s="59" t="s">
        <v>335</v>
      </c>
      <c r="B303" s="54" t="s">
        <v>255</v>
      </c>
      <c r="C303" s="60" t="s">
        <v>225</v>
      </c>
      <c r="D303" s="60"/>
      <c r="E303" s="60"/>
      <c r="F303" s="60"/>
      <c r="G303" s="61">
        <f>SUM(D303:F303)</f>
        <v>0</v>
      </c>
      <c r="H303" s="60"/>
      <c r="I303" s="60"/>
      <c r="J303" s="60"/>
      <c r="K303" s="61">
        <f>SUM(H303:J303)</f>
        <v>0</v>
      </c>
      <c r="L303" s="60"/>
      <c r="M303" s="60"/>
      <c r="N303" s="60"/>
      <c r="O303" s="61">
        <f>SUM(L303:N303)</f>
        <v>0</v>
      </c>
      <c r="P303" s="60"/>
      <c r="Q303" s="60"/>
      <c r="R303" s="60"/>
      <c r="S303" s="61">
        <f>SUM(P303:R303)</f>
        <v>0</v>
      </c>
      <c r="T303" s="60"/>
      <c r="U303" s="60"/>
      <c r="V303" s="60"/>
      <c r="W303" s="61">
        <f>SUM(T303:V303)</f>
        <v>0</v>
      </c>
      <c r="X303" s="60"/>
      <c r="Y303" s="60"/>
      <c r="Z303" s="60"/>
      <c r="AA303" s="61">
        <f>SUM(X303:Z303)</f>
        <v>0</v>
      </c>
      <c r="AB303" s="60"/>
      <c r="AC303" s="60"/>
      <c r="AD303" s="60"/>
      <c r="AE303" s="61">
        <f>SUM(AB303:AD303)</f>
        <v>0</v>
      </c>
      <c r="AF303" s="62">
        <f t="shared" si="60"/>
        <v>0</v>
      </c>
    </row>
    <row r="304" spans="1:32" hidden="1" x14ac:dyDescent="0.35">
      <c r="A304" s="111" t="s">
        <v>254</v>
      </c>
      <c r="C304" s="63" t="s">
        <v>227</v>
      </c>
      <c r="D304" s="63"/>
      <c r="E304" s="63"/>
      <c r="F304" s="63"/>
      <c r="G304" s="61">
        <f>SUM(D304:F304)</f>
        <v>0</v>
      </c>
      <c r="H304" s="63"/>
      <c r="I304" s="63"/>
      <c r="J304" s="63"/>
      <c r="K304" s="61">
        <f>SUM(H304:J304)</f>
        <v>0</v>
      </c>
      <c r="L304" s="63"/>
      <c r="M304" s="63"/>
      <c r="N304" s="63"/>
      <c r="O304" s="61">
        <f>SUM(L304:N304)</f>
        <v>0</v>
      </c>
      <c r="P304" s="63"/>
      <c r="Q304" s="63"/>
      <c r="R304" s="63"/>
      <c r="S304" s="61">
        <f>SUM(P304:R304)</f>
        <v>0</v>
      </c>
      <c r="T304" s="63"/>
      <c r="U304" s="63"/>
      <c r="V304" s="63"/>
      <c r="W304" s="61">
        <f>SUM(T304:V304)</f>
        <v>0</v>
      </c>
      <c r="X304" s="63"/>
      <c r="Y304" s="63"/>
      <c r="Z304" s="63"/>
      <c r="AA304" s="61">
        <f>SUM(X304:Z304)</f>
        <v>0</v>
      </c>
      <c r="AB304" s="63"/>
      <c r="AC304" s="63"/>
      <c r="AD304" s="63"/>
      <c r="AE304" s="61">
        <f>SUM(AB304:AD304)</f>
        <v>0</v>
      </c>
      <c r="AF304" s="64">
        <f t="shared" si="60"/>
        <v>0</v>
      </c>
    </row>
    <row r="305" spans="1:32" hidden="1" x14ac:dyDescent="0.35">
      <c r="A305" s="111"/>
      <c r="C305" s="60" t="s">
        <v>228</v>
      </c>
      <c r="D305" s="60"/>
      <c r="E305" s="60"/>
      <c r="F305" s="60"/>
      <c r="G305" s="61">
        <f>SUM(D305:F305)</f>
        <v>0</v>
      </c>
      <c r="H305" s="60"/>
      <c r="I305" s="60"/>
      <c r="J305" s="60"/>
      <c r="K305" s="61">
        <f>SUM(H305:J305)</f>
        <v>0</v>
      </c>
      <c r="L305" s="60"/>
      <c r="M305" s="60"/>
      <c r="N305" s="60"/>
      <c r="O305" s="61">
        <f>SUM(L305:N305)</f>
        <v>0</v>
      </c>
      <c r="P305" s="60"/>
      <c r="Q305" s="60"/>
      <c r="R305" s="60"/>
      <c r="S305" s="61">
        <f>SUM(P305:R305)</f>
        <v>0</v>
      </c>
      <c r="T305" s="60"/>
      <c r="U305" s="60"/>
      <c r="V305" s="60"/>
      <c r="W305" s="61">
        <f>SUM(T305:V305)</f>
        <v>0</v>
      </c>
      <c r="X305" s="60"/>
      <c r="Y305" s="60"/>
      <c r="Z305" s="60"/>
      <c r="AA305" s="61">
        <f>SUM(X305:Z305)</f>
        <v>0</v>
      </c>
      <c r="AB305" s="60"/>
      <c r="AC305" s="60"/>
      <c r="AD305" s="60"/>
      <c r="AE305" s="61">
        <f>SUM(AB305:AD305)</f>
        <v>0</v>
      </c>
      <c r="AF305" s="65">
        <f t="shared" si="60"/>
        <v>0</v>
      </c>
    </row>
    <row r="306" spans="1:32" hidden="1" x14ac:dyDescent="0.35">
      <c r="A306" s="111"/>
      <c r="C306" s="63" t="s">
        <v>235</v>
      </c>
      <c r="D306" s="63"/>
      <c r="E306" s="63"/>
      <c r="F306" s="63"/>
      <c r="G306" s="61">
        <f>SUM(D306:F306)</f>
        <v>0</v>
      </c>
      <c r="H306" s="63"/>
      <c r="I306" s="63"/>
      <c r="J306" s="63"/>
      <c r="K306" s="61">
        <f>SUM(H306:J306)</f>
        <v>0</v>
      </c>
      <c r="L306" s="63"/>
      <c r="M306" s="63"/>
      <c r="N306" s="63"/>
      <c r="O306" s="61">
        <f>SUM(L306:N306)</f>
        <v>0</v>
      </c>
      <c r="P306" s="63"/>
      <c r="Q306" s="63"/>
      <c r="R306" s="63"/>
      <c r="S306" s="61">
        <f>SUM(P306:R306)</f>
        <v>0</v>
      </c>
      <c r="T306" s="63"/>
      <c r="U306" s="63"/>
      <c r="V306" s="63"/>
      <c r="W306" s="61">
        <f>SUM(T306:V306)</f>
        <v>0</v>
      </c>
      <c r="X306" s="63"/>
      <c r="Y306" s="63"/>
      <c r="Z306" s="63"/>
      <c r="AA306" s="61">
        <f>SUM(X306:Z306)</f>
        <v>0</v>
      </c>
      <c r="AB306" s="63"/>
      <c r="AC306" s="63"/>
      <c r="AD306" s="63"/>
      <c r="AE306" s="61">
        <f>SUM(AB306:AD306)</f>
        <v>0</v>
      </c>
      <c r="AF306" s="63">
        <f t="shared" si="60"/>
        <v>0</v>
      </c>
    </row>
    <row r="307" spans="1:32" x14ac:dyDescent="0.35">
      <c r="A307" s="66" t="s">
        <v>335</v>
      </c>
      <c r="B307" s="67" t="s">
        <v>255</v>
      </c>
      <c r="C307" s="66"/>
      <c r="D307" s="66">
        <f t="shared" ref="D307:AE307" si="71">SUM(D303:D306)</f>
        <v>0</v>
      </c>
      <c r="E307" s="66">
        <f t="shared" si="71"/>
        <v>0</v>
      </c>
      <c r="F307" s="66">
        <f t="shared" si="71"/>
        <v>0</v>
      </c>
      <c r="G307" s="61">
        <f t="shared" si="71"/>
        <v>0</v>
      </c>
      <c r="H307" s="66">
        <f t="shared" si="71"/>
        <v>0</v>
      </c>
      <c r="I307" s="66">
        <f t="shared" si="71"/>
        <v>0</v>
      </c>
      <c r="J307" s="66">
        <f t="shared" si="71"/>
        <v>0</v>
      </c>
      <c r="K307" s="61">
        <f t="shared" si="71"/>
        <v>0</v>
      </c>
      <c r="L307" s="66">
        <f t="shared" si="71"/>
        <v>0</v>
      </c>
      <c r="M307" s="66">
        <f t="shared" si="71"/>
        <v>0</v>
      </c>
      <c r="N307" s="66">
        <f t="shared" si="71"/>
        <v>0</v>
      </c>
      <c r="O307" s="61">
        <f t="shared" si="71"/>
        <v>0</v>
      </c>
      <c r="P307" s="66">
        <f t="shared" si="71"/>
        <v>0</v>
      </c>
      <c r="Q307" s="66">
        <f t="shared" si="71"/>
        <v>0</v>
      </c>
      <c r="R307" s="66">
        <f t="shared" si="71"/>
        <v>0</v>
      </c>
      <c r="S307" s="61">
        <f t="shared" si="71"/>
        <v>0</v>
      </c>
      <c r="T307" s="66">
        <f t="shared" si="71"/>
        <v>0</v>
      </c>
      <c r="U307" s="66">
        <f t="shared" si="71"/>
        <v>0</v>
      </c>
      <c r="V307" s="66">
        <f t="shared" si="71"/>
        <v>0</v>
      </c>
      <c r="W307" s="61">
        <f t="shared" si="71"/>
        <v>0</v>
      </c>
      <c r="X307" s="66">
        <f t="shared" si="71"/>
        <v>0</v>
      </c>
      <c r="Y307" s="66">
        <f t="shared" si="71"/>
        <v>0</v>
      </c>
      <c r="Z307" s="66">
        <f t="shared" si="71"/>
        <v>0</v>
      </c>
      <c r="AA307" s="61">
        <f t="shared" si="71"/>
        <v>0</v>
      </c>
      <c r="AB307" s="66">
        <f t="shared" si="71"/>
        <v>0</v>
      </c>
      <c r="AC307" s="66">
        <f t="shared" si="71"/>
        <v>0</v>
      </c>
      <c r="AD307" s="66">
        <f t="shared" si="71"/>
        <v>0</v>
      </c>
      <c r="AE307" s="61">
        <f t="shared" si="71"/>
        <v>0</v>
      </c>
      <c r="AF307" s="68">
        <f t="shared" si="60"/>
        <v>0</v>
      </c>
    </row>
    <row r="308" spans="1:32" hidden="1" x14ac:dyDescent="0.35">
      <c r="A308" s="59" t="s">
        <v>336</v>
      </c>
      <c r="B308" s="54">
        <v>5</v>
      </c>
      <c r="C308" s="60" t="s">
        <v>225</v>
      </c>
      <c r="D308" s="60">
        <v>2</v>
      </c>
      <c r="E308" s="60"/>
      <c r="F308" s="60"/>
      <c r="G308" s="61">
        <f>SUM(D308:F308)</f>
        <v>2</v>
      </c>
      <c r="H308" s="60"/>
      <c r="I308" s="60"/>
      <c r="J308" s="60"/>
      <c r="K308" s="61">
        <f>SUM(H308:J308)</f>
        <v>0</v>
      </c>
      <c r="L308" s="60"/>
      <c r="M308" s="60"/>
      <c r="N308" s="60"/>
      <c r="O308" s="61">
        <f>SUM(L308:N308)</f>
        <v>0</v>
      </c>
      <c r="P308" s="60"/>
      <c r="Q308" s="60"/>
      <c r="R308" s="60"/>
      <c r="S308" s="61">
        <f>SUM(P308:R308)</f>
        <v>0</v>
      </c>
      <c r="T308" s="60"/>
      <c r="U308" s="60"/>
      <c r="V308" s="60"/>
      <c r="W308" s="61">
        <f>SUM(T308:V308)</f>
        <v>0</v>
      </c>
      <c r="X308" s="60">
        <v>1</v>
      </c>
      <c r="Y308" s="60">
        <v>1</v>
      </c>
      <c r="Z308" s="60"/>
      <c r="AA308" s="61">
        <f>SUM(X308:Z308)</f>
        <v>2</v>
      </c>
      <c r="AB308" s="60"/>
      <c r="AC308" s="60"/>
      <c r="AD308" s="60"/>
      <c r="AE308" s="61">
        <f>SUM(AB308:AD308)</f>
        <v>0</v>
      </c>
      <c r="AF308" s="62">
        <f t="shared" si="60"/>
        <v>4</v>
      </c>
    </row>
    <row r="309" spans="1:32" hidden="1" x14ac:dyDescent="0.35">
      <c r="A309" s="111" t="s">
        <v>238</v>
      </c>
      <c r="C309" s="63" t="s">
        <v>227</v>
      </c>
      <c r="D309" s="63">
        <v>1</v>
      </c>
      <c r="E309" s="63"/>
      <c r="F309" s="63"/>
      <c r="G309" s="61">
        <f>SUM(D309:F309)</f>
        <v>1</v>
      </c>
      <c r="H309" s="63"/>
      <c r="I309" s="63"/>
      <c r="J309" s="63"/>
      <c r="K309" s="61">
        <f>SUM(H309:J309)</f>
        <v>0</v>
      </c>
      <c r="L309" s="63"/>
      <c r="M309" s="63"/>
      <c r="N309" s="63"/>
      <c r="O309" s="61">
        <f>SUM(L309:N309)</f>
        <v>0</v>
      </c>
      <c r="P309" s="63"/>
      <c r="Q309" s="63"/>
      <c r="R309" s="63"/>
      <c r="S309" s="61">
        <f>SUM(P309:R309)</f>
        <v>0</v>
      </c>
      <c r="T309" s="63"/>
      <c r="U309" s="63"/>
      <c r="V309" s="63"/>
      <c r="W309" s="61">
        <f>SUM(T309:V309)</f>
        <v>0</v>
      </c>
      <c r="X309" s="63"/>
      <c r="Y309" s="63"/>
      <c r="Z309" s="63"/>
      <c r="AA309" s="61">
        <f>SUM(X309:Z309)</f>
        <v>0</v>
      </c>
      <c r="AB309" s="63"/>
      <c r="AC309" s="63"/>
      <c r="AD309" s="63"/>
      <c r="AE309" s="61">
        <f>SUM(AB309:AD309)</f>
        <v>0</v>
      </c>
      <c r="AF309" s="64">
        <f t="shared" si="60"/>
        <v>1</v>
      </c>
    </row>
    <row r="310" spans="1:32" hidden="1" x14ac:dyDescent="0.35">
      <c r="A310" s="111"/>
      <c r="C310" s="60" t="s">
        <v>228</v>
      </c>
      <c r="D310" s="60">
        <v>1</v>
      </c>
      <c r="E310" s="60"/>
      <c r="F310" s="60"/>
      <c r="G310" s="61">
        <f>SUM(D310:F310)</f>
        <v>1</v>
      </c>
      <c r="H310" s="60"/>
      <c r="I310" s="60"/>
      <c r="J310" s="60"/>
      <c r="K310" s="61">
        <f>SUM(H310:J310)</f>
        <v>0</v>
      </c>
      <c r="L310" s="60"/>
      <c r="M310" s="60"/>
      <c r="N310" s="60"/>
      <c r="O310" s="61">
        <f>SUM(L310:N310)</f>
        <v>0</v>
      </c>
      <c r="P310" s="60"/>
      <c r="Q310" s="60"/>
      <c r="R310" s="60"/>
      <c r="S310" s="61">
        <f>SUM(P310:R310)</f>
        <v>0</v>
      </c>
      <c r="T310" s="60"/>
      <c r="U310" s="60"/>
      <c r="V310" s="60"/>
      <c r="W310" s="61">
        <f>SUM(T310:V310)</f>
        <v>0</v>
      </c>
      <c r="X310" s="60"/>
      <c r="Y310" s="60"/>
      <c r="Z310" s="60"/>
      <c r="AA310" s="61">
        <f>SUM(X310:Z310)</f>
        <v>0</v>
      </c>
      <c r="AB310" s="60"/>
      <c r="AC310" s="60"/>
      <c r="AD310" s="60"/>
      <c r="AE310" s="61">
        <f>SUM(AB310:AD310)</f>
        <v>0</v>
      </c>
      <c r="AF310" s="65">
        <f t="shared" si="60"/>
        <v>1</v>
      </c>
    </row>
    <row r="311" spans="1:32" hidden="1" x14ac:dyDescent="0.35">
      <c r="A311" s="111"/>
      <c r="C311" s="63" t="s">
        <v>235</v>
      </c>
      <c r="D311" s="63">
        <v>1</v>
      </c>
      <c r="E311" s="63"/>
      <c r="F311" s="63"/>
      <c r="G311" s="61">
        <f>SUM(D311:F311)</f>
        <v>1</v>
      </c>
      <c r="H311" s="63"/>
      <c r="I311" s="63"/>
      <c r="J311" s="63"/>
      <c r="K311" s="61">
        <f>SUM(H311:J311)</f>
        <v>0</v>
      </c>
      <c r="L311" s="63">
        <v>1</v>
      </c>
      <c r="M311" s="63"/>
      <c r="N311" s="63"/>
      <c r="O311" s="61">
        <f>SUM(L311:N311)</f>
        <v>1</v>
      </c>
      <c r="P311" s="63"/>
      <c r="Q311" s="63"/>
      <c r="R311" s="63"/>
      <c r="S311" s="61">
        <f>SUM(P311:R311)</f>
        <v>0</v>
      </c>
      <c r="T311" s="63"/>
      <c r="U311" s="63"/>
      <c r="V311" s="63"/>
      <c r="W311" s="61">
        <f>SUM(T311:V311)</f>
        <v>0</v>
      </c>
      <c r="X311" s="63"/>
      <c r="Y311" s="63"/>
      <c r="Z311" s="63"/>
      <c r="AA311" s="61">
        <f>SUM(X311:Z311)</f>
        <v>0</v>
      </c>
      <c r="AB311" s="63"/>
      <c r="AC311" s="63"/>
      <c r="AD311" s="63"/>
      <c r="AE311" s="61">
        <f>SUM(AB311:AD311)</f>
        <v>0</v>
      </c>
      <c r="AF311" s="63">
        <f t="shared" si="60"/>
        <v>2</v>
      </c>
    </row>
    <row r="312" spans="1:32" x14ac:dyDescent="0.35">
      <c r="A312" s="66" t="s">
        <v>336</v>
      </c>
      <c r="B312" s="67">
        <v>5</v>
      </c>
      <c r="C312" s="66"/>
      <c r="D312" s="66">
        <f t="shared" ref="D312:AE312" si="72">SUM(D308:D311)</f>
        <v>5</v>
      </c>
      <c r="E312" s="66">
        <f t="shared" si="72"/>
        <v>0</v>
      </c>
      <c r="F312" s="66">
        <f t="shared" si="72"/>
        <v>0</v>
      </c>
      <c r="G312" s="61">
        <f t="shared" si="72"/>
        <v>5</v>
      </c>
      <c r="H312" s="66">
        <f t="shared" si="72"/>
        <v>0</v>
      </c>
      <c r="I312" s="66">
        <f t="shared" si="72"/>
        <v>0</v>
      </c>
      <c r="J312" s="66">
        <f t="shared" si="72"/>
        <v>0</v>
      </c>
      <c r="K312" s="61">
        <f t="shared" si="72"/>
        <v>0</v>
      </c>
      <c r="L312" s="66">
        <f t="shared" si="72"/>
        <v>1</v>
      </c>
      <c r="M312" s="66">
        <f t="shared" si="72"/>
        <v>0</v>
      </c>
      <c r="N312" s="66">
        <f t="shared" si="72"/>
        <v>0</v>
      </c>
      <c r="O312" s="61">
        <f t="shared" si="72"/>
        <v>1</v>
      </c>
      <c r="P312" s="66">
        <f t="shared" si="72"/>
        <v>0</v>
      </c>
      <c r="Q312" s="66">
        <f t="shared" si="72"/>
        <v>0</v>
      </c>
      <c r="R312" s="66">
        <f t="shared" si="72"/>
        <v>0</v>
      </c>
      <c r="S312" s="61">
        <f t="shared" si="72"/>
        <v>0</v>
      </c>
      <c r="T312" s="66">
        <f t="shared" si="72"/>
        <v>0</v>
      </c>
      <c r="U312" s="66">
        <f t="shared" si="72"/>
        <v>0</v>
      </c>
      <c r="V312" s="66">
        <f t="shared" si="72"/>
        <v>0</v>
      </c>
      <c r="W312" s="61">
        <f t="shared" si="72"/>
        <v>0</v>
      </c>
      <c r="X312" s="66">
        <f t="shared" si="72"/>
        <v>1</v>
      </c>
      <c r="Y312" s="66">
        <f t="shared" si="72"/>
        <v>1</v>
      </c>
      <c r="Z312" s="66">
        <f t="shared" si="72"/>
        <v>0</v>
      </c>
      <c r="AA312" s="61">
        <f t="shared" si="72"/>
        <v>2</v>
      </c>
      <c r="AB312" s="66">
        <f t="shared" si="72"/>
        <v>0</v>
      </c>
      <c r="AC312" s="66">
        <f t="shared" si="72"/>
        <v>0</v>
      </c>
      <c r="AD312" s="66">
        <f t="shared" si="72"/>
        <v>0</v>
      </c>
      <c r="AE312" s="61">
        <f t="shared" si="72"/>
        <v>0</v>
      </c>
      <c r="AF312" s="68">
        <f t="shared" si="60"/>
        <v>8</v>
      </c>
    </row>
    <row r="313" spans="1:32" hidden="1" x14ac:dyDescent="0.35">
      <c r="A313" s="59" t="s">
        <v>337</v>
      </c>
      <c r="B313" s="54" t="s">
        <v>338</v>
      </c>
      <c r="C313" s="60" t="s">
        <v>225</v>
      </c>
      <c r="D313" s="60">
        <v>9</v>
      </c>
      <c r="E313" s="60"/>
      <c r="F313" s="60"/>
      <c r="G313" s="61">
        <f>SUM(D313:F313)</f>
        <v>9</v>
      </c>
      <c r="H313" s="60"/>
      <c r="I313" s="60"/>
      <c r="J313" s="60"/>
      <c r="K313" s="61">
        <f>SUM(H313:J313)</f>
        <v>0</v>
      </c>
      <c r="L313" s="60">
        <v>1</v>
      </c>
      <c r="M313" s="60"/>
      <c r="N313" s="60"/>
      <c r="O313" s="61">
        <f>SUM(L313:N313)</f>
        <v>1</v>
      </c>
      <c r="P313" s="60"/>
      <c r="Q313" s="60"/>
      <c r="R313" s="60"/>
      <c r="S313" s="61">
        <f>SUM(P313:R313)</f>
        <v>0</v>
      </c>
      <c r="T313" s="60"/>
      <c r="U313" s="60"/>
      <c r="V313" s="60"/>
      <c r="W313" s="61">
        <f>SUM(T313:V313)</f>
        <v>0</v>
      </c>
      <c r="X313" s="60">
        <v>1</v>
      </c>
      <c r="Y313" s="60"/>
      <c r="Z313" s="60"/>
      <c r="AA313" s="61">
        <f>SUM(X313:Z313)</f>
        <v>1</v>
      </c>
      <c r="AB313" s="60">
        <v>1</v>
      </c>
      <c r="AC313" s="60"/>
      <c r="AD313" s="60"/>
      <c r="AE313" s="61">
        <f>SUM(AB313:AD313)</f>
        <v>1</v>
      </c>
      <c r="AF313" s="62">
        <f t="shared" si="60"/>
        <v>12</v>
      </c>
    </row>
    <row r="314" spans="1:32" hidden="1" x14ac:dyDescent="0.35">
      <c r="A314" s="111" t="s">
        <v>339</v>
      </c>
      <c r="C314" s="63" t="s">
        <v>227</v>
      </c>
      <c r="D314" s="63">
        <v>11</v>
      </c>
      <c r="E314" s="63">
        <v>1</v>
      </c>
      <c r="F314" s="63"/>
      <c r="G314" s="61">
        <f>SUM(D314:F314)</f>
        <v>12</v>
      </c>
      <c r="H314" s="63"/>
      <c r="I314" s="63"/>
      <c r="J314" s="63"/>
      <c r="K314" s="61">
        <f>SUM(H314:J314)</f>
        <v>0</v>
      </c>
      <c r="L314" s="63"/>
      <c r="M314" s="63"/>
      <c r="N314" s="63"/>
      <c r="O314" s="61">
        <f>SUM(L314:N314)</f>
        <v>0</v>
      </c>
      <c r="P314" s="63"/>
      <c r="Q314" s="63"/>
      <c r="R314" s="63"/>
      <c r="S314" s="61">
        <f>SUM(P314:R314)</f>
        <v>0</v>
      </c>
      <c r="T314" s="63"/>
      <c r="U314" s="63"/>
      <c r="V314" s="63"/>
      <c r="W314" s="61">
        <f>SUM(T314:V314)</f>
        <v>0</v>
      </c>
      <c r="X314" s="63">
        <v>2</v>
      </c>
      <c r="Y314" s="63"/>
      <c r="Z314" s="63"/>
      <c r="AA314" s="61">
        <f>SUM(X314:Z314)</f>
        <v>2</v>
      </c>
      <c r="AB314" s="63"/>
      <c r="AC314" s="63"/>
      <c r="AD314" s="63"/>
      <c r="AE314" s="61">
        <f>SUM(AB314:AD314)</f>
        <v>0</v>
      </c>
      <c r="AF314" s="64">
        <f t="shared" si="60"/>
        <v>14</v>
      </c>
    </row>
    <row r="315" spans="1:32" hidden="1" x14ac:dyDescent="0.35">
      <c r="A315" s="111"/>
      <c r="C315" s="60" t="s">
        <v>228</v>
      </c>
      <c r="D315" s="60">
        <v>11</v>
      </c>
      <c r="E315" s="60">
        <v>3</v>
      </c>
      <c r="F315" s="60"/>
      <c r="G315" s="61">
        <f>SUM(D315:F315)</f>
        <v>14</v>
      </c>
      <c r="H315" s="60"/>
      <c r="I315" s="60"/>
      <c r="J315" s="60"/>
      <c r="K315" s="61">
        <f>SUM(H315:J315)</f>
        <v>0</v>
      </c>
      <c r="L315" s="60"/>
      <c r="M315" s="60"/>
      <c r="N315" s="60">
        <v>1</v>
      </c>
      <c r="O315" s="61">
        <f>SUM(L315:N315)</f>
        <v>1</v>
      </c>
      <c r="P315" s="60"/>
      <c r="Q315" s="60"/>
      <c r="R315" s="60"/>
      <c r="S315" s="61">
        <f>SUM(P315:R315)</f>
        <v>0</v>
      </c>
      <c r="T315" s="60"/>
      <c r="U315" s="60"/>
      <c r="V315" s="60"/>
      <c r="W315" s="61">
        <f>SUM(T315:V315)</f>
        <v>0</v>
      </c>
      <c r="X315" s="60"/>
      <c r="Y315" s="60"/>
      <c r="Z315" s="60"/>
      <c r="AA315" s="61">
        <f>SUM(X315:Z315)</f>
        <v>0</v>
      </c>
      <c r="AB315" s="60"/>
      <c r="AC315" s="60"/>
      <c r="AD315" s="60"/>
      <c r="AE315" s="61">
        <f>SUM(AB315:AD315)</f>
        <v>0</v>
      </c>
      <c r="AF315" s="65">
        <f t="shared" si="60"/>
        <v>15</v>
      </c>
    </row>
    <row r="316" spans="1:32" hidden="1" x14ac:dyDescent="0.35">
      <c r="A316" s="111"/>
      <c r="C316" s="63" t="s">
        <v>235</v>
      </c>
      <c r="D316" s="63">
        <v>20</v>
      </c>
      <c r="E316" s="63">
        <v>1</v>
      </c>
      <c r="F316" s="63"/>
      <c r="G316" s="61">
        <f>SUM(D316:F316)</f>
        <v>21</v>
      </c>
      <c r="H316" s="63">
        <v>2</v>
      </c>
      <c r="I316" s="63"/>
      <c r="J316" s="63"/>
      <c r="K316" s="61">
        <f>SUM(H316:J316)</f>
        <v>2</v>
      </c>
      <c r="L316" s="63"/>
      <c r="M316" s="63"/>
      <c r="N316" s="63"/>
      <c r="O316" s="61">
        <f>SUM(L316:N316)</f>
        <v>0</v>
      </c>
      <c r="P316" s="63"/>
      <c r="Q316" s="63"/>
      <c r="R316" s="63"/>
      <c r="S316" s="61">
        <f>SUM(P316:R316)</f>
        <v>0</v>
      </c>
      <c r="T316" s="63"/>
      <c r="U316" s="63"/>
      <c r="V316" s="63"/>
      <c r="W316" s="61">
        <f>SUM(T316:V316)</f>
        <v>0</v>
      </c>
      <c r="X316" s="63"/>
      <c r="Y316" s="63"/>
      <c r="Z316" s="63"/>
      <c r="AA316" s="61">
        <f>SUM(X316:Z316)</f>
        <v>0</v>
      </c>
      <c r="AB316" s="63"/>
      <c r="AC316" s="63"/>
      <c r="AD316" s="63"/>
      <c r="AE316" s="61">
        <f>SUM(AB316:AD316)</f>
        <v>0</v>
      </c>
      <c r="AF316" s="63">
        <f t="shared" si="60"/>
        <v>23</v>
      </c>
    </row>
    <row r="317" spans="1:32" x14ac:dyDescent="0.35">
      <c r="A317" s="66" t="s">
        <v>337</v>
      </c>
      <c r="B317" s="67" t="s">
        <v>338</v>
      </c>
      <c r="C317" s="66"/>
      <c r="D317" s="66">
        <f t="shared" ref="D317:AE317" si="73">SUM(D313:D316)</f>
        <v>51</v>
      </c>
      <c r="E317" s="66">
        <f t="shared" si="73"/>
        <v>5</v>
      </c>
      <c r="F317" s="66">
        <f t="shared" si="73"/>
        <v>0</v>
      </c>
      <c r="G317" s="61">
        <f t="shared" si="73"/>
        <v>56</v>
      </c>
      <c r="H317" s="66">
        <f t="shared" si="73"/>
        <v>2</v>
      </c>
      <c r="I317" s="66">
        <f t="shared" si="73"/>
        <v>0</v>
      </c>
      <c r="J317" s="66">
        <f t="shared" si="73"/>
        <v>0</v>
      </c>
      <c r="K317" s="61">
        <f t="shared" si="73"/>
        <v>2</v>
      </c>
      <c r="L317" s="66">
        <f t="shared" si="73"/>
        <v>1</v>
      </c>
      <c r="M317" s="66">
        <f t="shared" si="73"/>
        <v>0</v>
      </c>
      <c r="N317" s="66">
        <f t="shared" si="73"/>
        <v>1</v>
      </c>
      <c r="O317" s="61">
        <f t="shared" si="73"/>
        <v>2</v>
      </c>
      <c r="P317" s="66">
        <f t="shared" si="73"/>
        <v>0</v>
      </c>
      <c r="Q317" s="66">
        <f t="shared" si="73"/>
        <v>0</v>
      </c>
      <c r="R317" s="66">
        <f t="shared" si="73"/>
        <v>0</v>
      </c>
      <c r="S317" s="61">
        <f t="shared" si="73"/>
        <v>0</v>
      </c>
      <c r="T317" s="66">
        <f t="shared" si="73"/>
        <v>0</v>
      </c>
      <c r="U317" s="66">
        <f t="shared" si="73"/>
        <v>0</v>
      </c>
      <c r="V317" s="66">
        <f t="shared" si="73"/>
        <v>0</v>
      </c>
      <c r="W317" s="61">
        <f t="shared" si="73"/>
        <v>0</v>
      </c>
      <c r="X317" s="66">
        <f t="shared" si="73"/>
        <v>3</v>
      </c>
      <c r="Y317" s="66">
        <f t="shared" si="73"/>
        <v>0</v>
      </c>
      <c r="Z317" s="66">
        <f t="shared" si="73"/>
        <v>0</v>
      </c>
      <c r="AA317" s="61">
        <f t="shared" si="73"/>
        <v>3</v>
      </c>
      <c r="AB317" s="66">
        <f t="shared" si="73"/>
        <v>1</v>
      </c>
      <c r="AC317" s="66">
        <f t="shared" si="73"/>
        <v>0</v>
      </c>
      <c r="AD317" s="66">
        <f t="shared" si="73"/>
        <v>0</v>
      </c>
      <c r="AE317" s="61">
        <f t="shared" si="73"/>
        <v>1</v>
      </c>
      <c r="AF317" s="68">
        <f t="shared" si="60"/>
        <v>64</v>
      </c>
    </row>
    <row r="318" spans="1:32" hidden="1" x14ac:dyDescent="0.35">
      <c r="A318" s="59" t="s">
        <v>340</v>
      </c>
      <c r="B318" s="54" t="s">
        <v>303</v>
      </c>
      <c r="C318" s="60" t="s">
        <v>225</v>
      </c>
      <c r="D318" s="60">
        <v>1</v>
      </c>
      <c r="E318" s="60"/>
      <c r="F318" s="60"/>
      <c r="G318" s="61">
        <f>SUM(D318:F318)</f>
        <v>1</v>
      </c>
      <c r="H318" s="60"/>
      <c r="I318" s="60"/>
      <c r="J318" s="60"/>
      <c r="K318" s="61">
        <f>SUM(H318:J318)</f>
        <v>0</v>
      </c>
      <c r="L318" s="60"/>
      <c r="M318" s="60">
        <v>1</v>
      </c>
      <c r="N318" s="60"/>
      <c r="O318" s="61">
        <f>SUM(L318:N318)</f>
        <v>1</v>
      </c>
      <c r="P318" s="60"/>
      <c r="Q318" s="60"/>
      <c r="R318" s="60"/>
      <c r="S318" s="61">
        <f>SUM(P318:R318)</f>
        <v>0</v>
      </c>
      <c r="T318" s="60"/>
      <c r="U318" s="60"/>
      <c r="V318" s="60"/>
      <c r="W318" s="61">
        <f>SUM(T318:V318)</f>
        <v>0</v>
      </c>
      <c r="X318" s="60">
        <v>1</v>
      </c>
      <c r="Y318" s="60">
        <v>1</v>
      </c>
      <c r="Z318" s="60"/>
      <c r="AA318" s="61">
        <f>SUM(X318:Z318)</f>
        <v>2</v>
      </c>
      <c r="AB318" s="60"/>
      <c r="AC318" s="60"/>
      <c r="AD318" s="60"/>
      <c r="AE318" s="61">
        <f>SUM(AB318:AD318)</f>
        <v>0</v>
      </c>
      <c r="AF318" s="62">
        <f t="shared" si="60"/>
        <v>4</v>
      </c>
    </row>
    <row r="319" spans="1:32" hidden="1" x14ac:dyDescent="0.35">
      <c r="A319" s="111" t="s">
        <v>341</v>
      </c>
      <c r="C319" s="63" t="s">
        <v>227</v>
      </c>
      <c r="D319" s="63">
        <v>1</v>
      </c>
      <c r="E319" s="63"/>
      <c r="F319" s="63"/>
      <c r="G319" s="61">
        <f>SUM(D319:F319)</f>
        <v>1</v>
      </c>
      <c r="H319" s="63"/>
      <c r="I319" s="63"/>
      <c r="J319" s="63"/>
      <c r="K319" s="61">
        <f>SUM(H319:J319)</f>
        <v>0</v>
      </c>
      <c r="L319" s="63">
        <v>1</v>
      </c>
      <c r="M319" s="63"/>
      <c r="N319" s="63"/>
      <c r="O319" s="61">
        <f>SUM(L319:N319)</f>
        <v>1</v>
      </c>
      <c r="P319" s="63"/>
      <c r="Q319" s="63"/>
      <c r="R319" s="63"/>
      <c r="S319" s="61">
        <f>SUM(P319:R319)</f>
        <v>0</v>
      </c>
      <c r="T319" s="63"/>
      <c r="U319" s="63"/>
      <c r="V319" s="63"/>
      <c r="W319" s="61">
        <f>SUM(T319:V319)</f>
        <v>0</v>
      </c>
      <c r="X319" s="63">
        <v>1</v>
      </c>
      <c r="Y319" s="63"/>
      <c r="Z319" s="63"/>
      <c r="AA319" s="61">
        <f>SUM(X319:Z319)</f>
        <v>1</v>
      </c>
      <c r="AB319" s="63">
        <v>1</v>
      </c>
      <c r="AC319" s="63"/>
      <c r="AD319" s="63"/>
      <c r="AE319" s="61">
        <f>SUM(AB319:AD319)</f>
        <v>1</v>
      </c>
      <c r="AF319" s="64">
        <f t="shared" si="60"/>
        <v>4</v>
      </c>
    </row>
    <row r="320" spans="1:32" hidden="1" x14ac:dyDescent="0.35">
      <c r="A320" s="111"/>
      <c r="C320" s="60" t="s">
        <v>228</v>
      </c>
      <c r="D320" s="60"/>
      <c r="E320" s="60"/>
      <c r="F320" s="60"/>
      <c r="G320" s="61">
        <f>SUM(D320:F320)</f>
        <v>0</v>
      </c>
      <c r="H320" s="60"/>
      <c r="I320" s="60"/>
      <c r="J320" s="60"/>
      <c r="K320" s="61">
        <f>SUM(H320:J320)</f>
        <v>0</v>
      </c>
      <c r="L320" s="60">
        <v>1</v>
      </c>
      <c r="M320" s="60"/>
      <c r="N320" s="60"/>
      <c r="O320" s="61">
        <f>SUM(L320:N320)</f>
        <v>1</v>
      </c>
      <c r="P320" s="60"/>
      <c r="Q320" s="60"/>
      <c r="R320" s="60"/>
      <c r="S320" s="61">
        <f>SUM(P320:R320)</f>
        <v>0</v>
      </c>
      <c r="T320" s="60"/>
      <c r="U320" s="60"/>
      <c r="V320" s="60"/>
      <c r="W320" s="61">
        <f>SUM(T320:V320)</f>
        <v>0</v>
      </c>
      <c r="X320" s="60"/>
      <c r="Y320" s="60"/>
      <c r="Z320" s="60"/>
      <c r="AA320" s="61">
        <f>SUM(X320:Z320)</f>
        <v>0</v>
      </c>
      <c r="AB320" s="60"/>
      <c r="AC320" s="60"/>
      <c r="AD320" s="60"/>
      <c r="AE320" s="61">
        <f>SUM(AB320:AD320)</f>
        <v>0</v>
      </c>
      <c r="AF320" s="65">
        <f t="shared" si="60"/>
        <v>1</v>
      </c>
    </row>
    <row r="321" spans="1:32" hidden="1" x14ac:dyDescent="0.35">
      <c r="A321" s="111"/>
      <c r="C321" s="63" t="s">
        <v>235</v>
      </c>
      <c r="D321" s="63"/>
      <c r="E321" s="63"/>
      <c r="F321" s="63"/>
      <c r="G321" s="61">
        <f>SUM(D321:F321)</f>
        <v>0</v>
      </c>
      <c r="H321" s="63"/>
      <c r="I321" s="63"/>
      <c r="J321" s="63"/>
      <c r="K321" s="61">
        <f>SUM(H321:J321)</f>
        <v>0</v>
      </c>
      <c r="L321" s="63"/>
      <c r="M321" s="63"/>
      <c r="N321" s="63"/>
      <c r="O321" s="61">
        <f>SUM(L321:N321)</f>
        <v>0</v>
      </c>
      <c r="P321" s="63"/>
      <c r="Q321" s="63"/>
      <c r="R321" s="63"/>
      <c r="S321" s="61">
        <f>SUM(P321:R321)</f>
        <v>0</v>
      </c>
      <c r="T321" s="63"/>
      <c r="U321" s="63"/>
      <c r="V321" s="63"/>
      <c r="W321" s="61">
        <f>SUM(T321:V321)</f>
        <v>0</v>
      </c>
      <c r="X321" s="63"/>
      <c r="Y321" s="63"/>
      <c r="Z321" s="63"/>
      <c r="AA321" s="61">
        <f>SUM(X321:Z321)</f>
        <v>0</v>
      </c>
      <c r="AB321" s="63"/>
      <c r="AC321" s="63"/>
      <c r="AD321" s="63"/>
      <c r="AE321" s="61">
        <f>SUM(AB321:AD321)</f>
        <v>0</v>
      </c>
      <c r="AF321" s="63">
        <f t="shared" si="60"/>
        <v>0</v>
      </c>
    </row>
    <row r="322" spans="1:32" x14ac:dyDescent="0.35">
      <c r="A322" s="66" t="s">
        <v>340</v>
      </c>
      <c r="B322" s="67" t="s">
        <v>303</v>
      </c>
      <c r="C322" s="66"/>
      <c r="D322" s="66">
        <f t="shared" ref="D322:AE322" si="74">SUM(D318:D321)</f>
        <v>2</v>
      </c>
      <c r="E322" s="66">
        <f t="shared" si="74"/>
        <v>0</v>
      </c>
      <c r="F322" s="66">
        <f t="shared" si="74"/>
        <v>0</v>
      </c>
      <c r="G322" s="61">
        <f t="shared" si="74"/>
        <v>2</v>
      </c>
      <c r="H322" s="66">
        <f t="shared" si="74"/>
        <v>0</v>
      </c>
      <c r="I322" s="66">
        <f t="shared" si="74"/>
        <v>0</v>
      </c>
      <c r="J322" s="66">
        <f t="shared" si="74"/>
        <v>0</v>
      </c>
      <c r="K322" s="61">
        <f t="shared" si="74"/>
        <v>0</v>
      </c>
      <c r="L322" s="66">
        <f t="shared" si="74"/>
        <v>2</v>
      </c>
      <c r="M322" s="66">
        <f t="shared" si="74"/>
        <v>1</v>
      </c>
      <c r="N322" s="66">
        <f t="shared" si="74"/>
        <v>0</v>
      </c>
      <c r="O322" s="61">
        <f t="shared" si="74"/>
        <v>3</v>
      </c>
      <c r="P322" s="66">
        <f t="shared" si="74"/>
        <v>0</v>
      </c>
      <c r="Q322" s="66">
        <f t="shared" si="74"/>
        <v>0</v>
      </c>
      <c r="R322" s="66">
        <f t="shared" si="74"/>
        <v>0</v>
      </c>
      <c r="S322" s="61">
        <f t="shared" si="74"/>
        <v>0</v>
      </c>
      <c r="T322" s="66">
        <f t="shared" si="74"/>
        <v>0</v>
      </c>
      <c r="U322" s="66">
        <f t="shared" si="74"/>
        <v>0</v>
      </c>
      <c r="V322" s="66">
        <f t="shared" si="74"/>
        <v>0</v>
      </c>
      <c r="W322" s="61">
        <f t="shared" si="74"/>
        <v>0</v>
      </c>
      <c r="X322" s="66">
        <f t="shared" si="74"/>
        <v>2</v>
      </c>
      <c r="Y322" s="66">
        <f t="shared" si="74"/>
        <v>1</v>
      </c>
      <c r="Z322" s="66">
        <f t="shared" si="74"/>
        <v>0</v>
      </c>
      <c r="AA322" s="61">
        <f t="shared" si="74"/>
        <v>3</v>
      </c>
      <c r="AB322" s="66">
        <f t="shared" si="74"/>
        <v>1</v>
      </c>
      <c r="AC322" s="66">
        <f t="shared" si="74"/>
        <v>0</v>
      </c>
      <c r="AD322" s="66">
        <f t="shared" si="74"/>
        <v>0</v>
      </c>
      <c r="AE322" s="61">
        <f t="shared" si="74"/>
        <v>1</v>
      </c>
      <c r="AF322" s="68">
        <f t="shared" si="60"/>
        <v>9</v>
      </c>
    </row>
    <row r="323" spans="1:32" hidden="1" x14ac:dyDescent="0.35">
      <c r="A323" s="59" t="s">
        <v>342</v>
      </c>
      <c r="B323" s="54" t="s">
        <v>330</v>
      </c>
      <c r="C323" s="60" t="s">
        <v>225</v>
      </c>
      <c r="D323" s="60"/>
      <c r="E323" s="60"/>
      <c r="F323" s="60"/>
      <c r="G323" s="61">
        <f>SUM(D323:F323)</f>
        <v>0</v>
      </c>
      <c r="H323" s="60">
        <v>1</v>
      </c>
      <c r="I323" s="60"/>
      <c r="J323" s="60"/>
      <c r="K323" s="61">
        <f>SUM(H323:J323)</f>
        <v>1</v>
      </c>
      <c r="L323" s="60">
        <v>5</v>
      </c>
      <c r="M323" s="60"/>
      <c r="N323" s="60"/>
      <c r="O323" s="61">
        <f>SUM(L323:N323)</f>
        <v>5</v>
      </c>
      <c r="P323" s="60"/>
      <c r="Q323" s="60"/>
      <c r="R323" s="60"/>
      <c r="S323" s="61">
        <f>SUM(P323:R323)</f>
        <v>0</v>
      </c>
      <c r="T323" s="60"/>
      <c r="U323" s="60"/>
      <c r="V323" s="60"/>
      <c r="W323" s="61">
        <f>SUM(T323:V323)</f>
        <v>0</v>
      </c>
      <c r="X323" s="60"/>
      <c r="Y323" s="60"/>
      <c r="Z323" s="60"/>
      <c r="AA323" s="61">
        <f>SUM(X323:Z323)</f>
        <v>0</v>
      </c>
      <c r="AB323" s="60">
        <v>1</v>
      </c>
      <c r="AC323" s="60"/>
      <c r="AD323" s="60"/>
      <c r="AE323" s="61">
        <f>SUM(AB323:AD323)</f>
        <v>1</v>
      </c>
      <c r="AF323" s="62">
        <f t="shared" si="60"/>
        <v>7</v>
      </c>
    </row>
    <row r="324" spans="1:32" hidden="1" x14ac:dyDescent="0.35">
      <c r="A324" s="111" t="s">
        <v>343</v>
      </c>
      <c r="C324" s="63" t="s">
        <v>227</v>
      </c>
      <c r="D324" s="63"/>
      <c r="E324" s="63"/>
      <c r="F324" s="63"/>
      <c r="G324" s="61">
        <f>SUM(D324:F324)</f>
        <v>0</v>
      </c>
      <c r="H324" s="63"/>
      <c r="I324" s="63"/>
      <c r="J324" s="63"/>
      <c r="K324" s="61">
        <f>SUM(H324:J324)</f>
        <v>0</v>
      </c>
      <c r="L324" s="63"/>
      <c r="M324" s="63"/>
      <c r="N324" s="63"/>
      <c r="O324" s="61">
        <f>SUM(L324:N324)</f>
        <v>0</v>
      </c>
      <c r="P324" s="63"/>
      <c r="Q324" s="63"/>
      <c r="R324" s="63"/>
      <c r="S324" s="61">
        <f>SUM(P324:R324)</f>
        <v>0</v>
      </c>
      <c r="T324" s="63"/>
      <c r="U324" s="63"/>
      <c r="V324" s="63"/>
      <c r="W324" s="61">
        <f>SUM(T324:V324)</f>
        <v>0</v>
      </c>
      <c r="X324" s="63"/>
      <c r="Y324" s="63"/>
      <c r="Z324" s="63"/>
      <c r="AA324" s="61">
        <f>SUM(X324:Z324)</f>
        <v>0</v>
      </c>
      <c r="AB324" s="63"/>
      <c r="AC324" s="63"/>
      <c r="AD324" s="63"/>
      <c r="AE324" s="61">
        <f>SUM(AB324:AD324)</f>
        <v>0</v>
      </c>
      <c r="AF324" s="64">
        <f t="shared" ref="AF324:AF387" si="75">SUM(G324,K324,O324,S324,W324,AA324,AE324)</f>
        <v>0</v>
      </c>
    </row>
    <row r="325" spans="1:32" hidden="1" x14ac:dyDescent="0.35">
      <c r="A325" s="111"/>
      <c r="C325" s="60" t="s">
        <v>228</v>
      </c>
      <c r="D325" s="60"/>
      <c r="E325" s="60"/>
      <c r="F325" s="60"/>
      <c r="G325" s="61">
        <f>SUM(D325:F325)</f>
        <v>0</v>
      </c>
      <c r="H325" s="60"/>
      <c r="I325" s="60"/>
      <c r="J325" s="60"/>
      <c r="K325" s="61">
        <f>SUM(H325:J325)</f>
        <v>0</v>
      </c>
      <c r="L325" s="60"/>
      <c r="M325" s="60"/>
      <c r="N325" s="60"/>
      <c r="O325" s="61">
        <f>SUM(L325:N325)</f>
        <v>0</v>
      </c>
      <c r="P325" s="60"/>
      <c r="Q325" s="60"/>
      <c r="R325" s="60"/>
      <c r="S325" s="61">
        <f>SUM(P325:R325)</f>
        <v>0</v>
      </c>
      <c r="T325" s="60"/>
      <c r="U325" s="60"/>
      <c r="V325" s="60"/>
      <c r="W325" s="61">
        <f>SUM(T325:V325)</f>
        <v>0</v>
      </c>
      <c r="X325" s="60"/>
      <c r="Y325" s="60"/>
      <c r="Z325" s="60"/>
      <c r="AA325" s="61">
        <f>SUM(X325:Z325)</f>
        <v>0</v>
      </c>
      <c r="AB325" s="60"/>
      <c r="AC325" s="60"/>
      <c r="AD325" s="60"/>
      <c r="AE325" s="61">
        <f>SUM(AB325:AD325)</f>
        <v>0</v>
      </c>
      <c r="AF325" s="65">
        <f t="shared" si="75"/>
        <v>0</v>
      </c>
    </row>
    <row r="326" spans="1:32" hidden="1" x14ac:dyDescent="0.35">
      <c r="A326" s="111"/>
      <c r="C326" s="63" t="s">
        <v>235</v>
      </c>
      <c r="D326" s="63"/>
      <c r="E326" s="63"/>
      <c r="F326" s="63"/>
      <c r="G326" s="61">
        <f>SUM(D326:F326)</f>
        <v>0</v>
      </c>
      <c r="H326" s="63"/>
      <c r="I326" s="63"/>
      <c r="J326" s="63"/>
      <c r="K326" s="61">
        <f>SUM(H326:J326)</f>
        <v>0</v>
      </c>
      <c r="L326" s="63"/>
      <c r="M326" s="63"/>
      <c r="N326" s="63"/>
      <c r="O326" s="61">
        <f>SUM(L326:N326)</f>
        <v>0</v>
      </c>
      <c r="P326" s="63"/>
      <c r="Q326" s="63"/>
      <c r="R326" s="63"/>
      <c r="S326" s="61">
        <f>SUM(P326:R326)</f>
        <v>0</v>
      </c>
      <c r="T326" s="63"/>
      <c r="U326" s="63"/>
      <c r="V326" s="63"/>
      <c r="W326" s="61">
        <f>SUM(T326:V326)</f>
        <v>0</v>
      </c>
      <c r="X326" s="63"/>
      <c r="Y326" s="63"/>
      <c r="Z326" s="63"/>
      <c r="AA326" s="61">
        <f>SUM(X326:Z326)</f>
        <v>0</v>
      </c>
      <c r="AB326" s="63"/>
      <c r="AC326" s="63"/>
      <c r="AD326" s="63"/>
      <c r="AE326" s="61">
        <f>SUM(AB326:AD326)</f>
        <v>0</v>
      </c>
      <c r="AF326" s="63">
        <f t="shared" si="75"/>
        <v>0</v>
      </c>
    </row>
    <row r="327" spans="1:32" x14ac:dyDescent="0.35">
      <c r="A327" s="66" t="s">
        <v>342</v>
      </c>
      <c r="B327" s="67" t="s">
        <v>330</v>
      </c>
      <c r="C327" s="66"/>
      <c r="D327" s="66">
        <f t="shared" ref="D327:AE327" si="76">SUM(D323:D326)</f>
        <v>0</v>
      </c>
      <c r="E327" s="66">
        <f t="shared" si="76"/>
        <v>0</v>
      </c>
      <c r="F327" s="66">
        <f t="shared" si="76"/>
        <v>0</v>
      </c>
      <c r="G327" s="61">
        <f t="shared" si="76"/>
        <v>0</v>
      </c>
      <c r="H327" s="66">
        <f t="shared" si="76"/>
        <v>1</v>
      </c>
      <c r="I327" s="66">
        <f t="shared" si="76"/>
        <v>0</v>
      </c>
      <c r="J327" s="66">
        <f t="shared" si="76"/>
        <v>0</v>
      </c>
      <c r="K327" s="61">
        <f t="shared" si="76"/>
        <v>1</v>
      </c>
      <c r="L327" s="66">
        <f t="shared" si="76"/>
        <v>5</v>
      </c>
      <c r="M327" s="66">
        <f t="shared" si="76"/>
        <v>0</v>
      </c>
      <c r="N327" s="66">
        <f t="shared" si="76"/>
        <v>0</v>
      </c>
      <c r="O327" s="61">
        <f t="shared" si="76"/>
        <v>5</v>
      </c>
      <c r="P327" s="66">
        <f t="shared" si="76"/>
        <v>0</v>
      </c>
      <c r="Q327" s="66">
        <f t="shared" si="76"/>
        <v>0</v>
      </c>
      <c r="R327" s="66">
        <f t="shared" si="76"/>
        <v>0</v>
      </c>
      <c r="S327" s="61">
        <f t="shared" si="76"/>
        <v>0</v>
      </c>
      <c r="T327" s="66">
        <f t="shared" si="76"/>
        <v>0</v>
      </c>
      <c r="U327" s="66">
        <f t="shared" si="76"/>
        <v>0</v>
      </c>
      <c r="V327" s="66">
        <f t="shared" si="76"/>
        <v>0</v>
      </c>
      <c r="W327" s="61">
        <f t="shared" si="76"/>
        <v>0</v>
      </c>
      <c r="X327" s="66">
        <f t="shared" si="76"/>
        <v>0</v>
      </c>
      <c r="Y327" s="66">
        <f t="shared" si="76"/>
        <v>0</v>
      </c>
      <c r="Z327" s="66">
        <f t="shared" si="76"/>
        <v>0</v>
      </c>
      <c r="AA327" s="61">
        <f t="shared" si="76"/>
        <v>0</v>
      </c>
      <c r="AB327" s="66">
        <f t="shared" si="76"/>
        <v>1</v>
      </c>
      <c r="AC327" s="66">
        <f t="shared" si="76"/>
        <v>0</v>
      </c>
      <c r="AD327" s="66">
        <f t="shared" si="76"/>
        <v>0</v>
      </c>
      <c r="AE327" s="61">
        <f t="shared" si="76"/>
        <v>1</v>
      </c>
      <c r="AF327" s="68">
        <f t="shared" si="75"/>
        <v>7</v>
      </c>
    </row>
    <row r="328" spans="1:32" hidden="1" x14ac:dyDescent="0.35">
      <c r="A328" s="59" t="s">
        <v>344</v>
      </c>
      <c r="B328" s="54" t="s">
        <v>345</v>
      </c>
      <c r="C328" s="60" t="s">
        <v>225</v>
      </c>
      <c r="D328" s="60"/>
      <c r="E328" s="60"/>
      <c r="F328" s="60"/>
      <c r="G328" s="61">
        <f>SUM(D328:F328)</f>
        <v>0</v>
      </c>
      <c r="H328" s="60"/>
      <c r="I328" s="60"/>
      <c r="J328" s="60"/>
      <c r="K328" s="61">
        <f>SUM(H328:J328)</f>
        <v>0</v>
      </c>
      <c r="L328" s="60">
        <v>8</v>
      </c>
      <c r="M328" s="60"/>
      <c r="N328" s="60"/>
      <c r="O328" s="61">
        <f>SUM(L328:N328)</f>
        <v>8</v>
      </c>
      <c r="P328" s="60"/>
      <c r="Q328" s="60"/>
      <c r="R328" s="60"/>
      <c r="S328" s="61">
        <f>SUM(P328:R328)</f>
        <v>0</v>
      </c>
      <c r="T328" s="60"/>
      <c r="U328" s="60"/>
      <c r="V328" s="60"/>
      <c r="W328" s="61">
        <f>SUM(T328:V328)</f>
        <v>0</v>
      </c>
      <c r="X328" s="60">
        <v>2</v>
      </c>
      <c r="Y328" s="60"/>
      <c r="Z328" s="60"/>
      <c r="AA328" s="61">
        <f>SUM(X328:Z328)</f>
        <v>2</v>
      </c>
      <c r="AB328" s="60">
        <v>1</v>
      </c>
      <c r="AC328" s="60"/>
      <c r="AD328" s="60"/>
      <c r="AE328" s="61">
        <f>SUM(AB328:AD328)</f>
        <v>1</v>
      </c>
      <c r="AF328" s="62">
        <f t="shared" si="75"/>
        <v>11</v>
      </c>
    </row>
    <row r="329" spans="1:32" hidden="1" x14ac:dyDescent="0.35">
      <c r="A329" s="111" t="s">
        <v>346</v>
      </c>
      <c r="C329" s="63" t="s">
        <v>227</v>
      </c>
      <c r="D329" s="63"/>
      <c r="E329" s="63"/>
      <c r="F329" s="63"/>
      <c r="G329" s="61">
        <f>SUM(D329:F329)</f>
        <v>0</v>
      </c>
      <c r="H329" s="63"/>
      <c r="I329" s="63"/>
      <c r="J329" s="63"/>
      <c r="K329" s="61">
        <f>SUM(H329:J329)</f>
        <v>0</v>
      </c>
      <c r="L329" s="63">
        <v>3</v>
      </c>
      <c r="M329" s="63"/>
      <c r="N329" s="63"/>
      <c r="O329" s="61">
        <f>SUM(L329:N329)</f>
        <v>3</v>
      </c>
      <c r="P329" s="63"/>
      <c r="Q329" s="63"/>
      <c r="R329" s="63"/>
      <c r="S329" s="61">
        <f>SUM(P329:R329)</f>
        <v>0</v>
      </c>
      <c r="T329" s="63"/>
      <c r="U329" s="63"/>
      <c r="V329" s="63"/>
      <c r="W329" s="61">
        <f>SUM(T329:V329)</f>
        <v>0</v>
      </c>
      <c r="X329" s="63"/>
      <c r="Y329" s="63"/>
      <c r="Z329" s="63"/>
      <c r="AA329" s="61">
        <f>SUM(X329:Z329)</f>
        <v>0</v>
      </c>
      <c r="AB329" s="63">
        <v>1</v>
      </c>
      <c r="AC329" s="63"/>
      <c r="AD329" s="63"/>
      <c r="AE329" s="61">
        <f>SUM(AB329:AD329)</f>
        <v>1</v>
      </c>
      <c r="AF329" s="64">
        <f t="shared" si="75"/>
        <v>4</v>
      </c>
    </row>
    <row r="330" spans="1:32" hidden="1" x14ac:dyDescent="0.35">
      <c r="A330" s="111"/>
      <c r="C330" s="60" t="s">
        <v>228</v>
      </c>
      <c r="D330" s="60"/>
      <c r="E330" s="60"/>
      <c r="F330" s="60"/>
      <c r="G330" s="61">
        <f>SUM(D330:F330)</f>
        <v>0</v>
      </c>
      <c r="H330" s="60"/>
      <c r="I330" s="60"/>
      <c r="J330" s="60"/>
      <c r="K330" s="61">
        <f>SUM(H330:J330)</f>
        <v>0</v>
      </c>
      <c r="L330" s="60">
        <v>1</v>
      </c>
      <c r="M330" s="60"/>
      <c r="N330" s="60"/>
      <c r="O330" s="61">
        <f>SUM(L330:N330)</f>
        <v>1</v>
      </c>
      <c r="P330" s="60"/>
      <c r="Q330" s="60"/>
      <c r="R330" s="60"/>
      <c r="S330" s="61">
        <f>SUM(P330:R330)</f>
        <v>0</v>
      </c>
      <c r="T330" s="60"/>
      <c r="U330" s="60"/>
      <c r="V330" s="60"/>
      <c r="W330" s="61">
        <f>SUM(T330:V330)</f>
        <v>0</v>
      </c>
      <c r="X330" s="60"/>
      <c r="Y330" s="60"/>
      <c r="Z330" s="60"/>
      <c r="AA330" s="61">
        <f>SUM(X330:Z330)</f>
        <v>0</v>
      </c>
      <c r="AB330" s="60">
        <v>2</v>
      </c>
      <c r="AC330" s="60"/>
      <c r="AD330" s="60"/>
      <c r="AE330" s="61">
        <f>SUM(AB330:AD330)</f>
        <v>2</v>
      </c>
      <c r="AF330" s="65">
        <f t="shared" si="75"/>
        <v>3</v>
      </c>
    </row>
    <row r="331" spans="1:32" hidden="1" x14ac:dyDescent="0.35">
      <c r="A331" s="111"/>
      <c r="C331" s="63" t="s">
        <v>235</v>
      </c>
      <c r="D331" s="63">
        <v>2</v>
      </c>
      <c r="E331" s="63"/>
      <c r="F331" s="63"/>
      <c r="G331" s="61">
        <f>SUM(D331:F331)</f>
        <v>2</v>
      </c>
      <c r="H331" s="63">
        <v>1</v>
      </c>
      <c r="I331" s="63"/>
      <c r="J331" s="63"/>
      <c r="K331" s="61">
        <f>SUM(H331:J331)</f>
        <v>1</v>
      </c>
      <c r="L331" s="63"/>
      <c r="M331" s="63"/>
      <c r="N331" s="63"/>
      <c r="O331" s="61">
        <f>SUM(L331:N331)</f>
        <v>0</v>
      </c>
      <c r="P331" s="63"/>
      <c r="Q331" s="63"/>
      <c r="R331" s="63"/>
      <c r="S331" s="61">
        <f>SUM(P331:R331)</f>
        <v>0</v>
      </c>
      <c r="T331" s="63"/>
      <c r="U331" s="63"/>
      <c r="V331" s="63"/>
      <c r="W331" s="61">
        <f>SUM(T331:V331)</f>
        <v>0</v>
      </c>
      <c r="X331" s="63"/>
      <c r="Y331" s="63"/>
      <c r="Z331" s="63"/>
      <c r="AA331" s="61">
        <f>SUM(X331:Z331)</f>
        <v>0</v>
      </c>
      <c r="AB331" s="63"/>
      <c r="AC331" s="63"/>
      <c r="AD331" s="63"/>
      <c r="AE331" s="61">
        <f>SUM(AB331:AD331)</f>
        <v>0</v>
      </c>
      <c r="AF331" s="63">
        <f t="shared" si="75"/>
        <v>3</v>
      </c>
    </row>
    <row r="332" spans="1:32" x14ac:dyDescent="0.35">
      <c r="A332" s="66" t="s">
        <v>344</v>
      </c>
      <c r="B332" s="67" t="s">
        <v>345</v>
      </c>
      <c r="C332" s="66"/>
      <c r="D332" s="66">
        <f t="shared" ref="D332:AE332" si="77">SUM(D328:D331)</f>
        <v>2</v>
      </c>
      <c r="E332" s="66">
        <f t="shared" si="77"/>
        <v>0</v>
      </c>
      <c r="F332" s="66">
        <f t="shared" si="77"/>
        <v>0</v>
      </c>
      <c r="G332" s="61">
        <f t="shared" si="77"/>
        <v>2</v>
      </c>
      <c r="H332" s="66">
        <f t="shared" si="77"/>
        <v>1</v>
      </c>
      <c r="I332" s="66">
        <f t="shared" si="77"/>
        <v>0</v>
      </c>
      <c r="J332" s="66">
        <f t="shared" si="77"/>
        <v>0</v>
      </c>
      <c r="K332" s="61">
        <f t="shared" si="77"/>
        <v>1</v>
      </c>
      <c r="L332" s="66">
        <f t="shared" si="77"/>
        <v>12</v>
      </c>
      <c r="M332" s="66">
        <f t="shared" si="77"/>
        <v>0</v>
      </c>
      <c r="N332" s="66">
        <f t="shared" si="77"/>
        <v>0</v>
      </c>
      <c r="O332" s="61">
        <f t="shared" si="77"/>
        <v>12</v>
      </c>
      <c r="P332" s="66">
        <f t="shared" si="77"/>
        <v>0</v>
      </c>
      <c r="Q332" s="66">
        <f t="shared" si="77"/>
        <v>0</v>
      </c>
      <c r="R332" s="66">
        <f t="shared" si="77"/>
        <v>0</v>
      </c>
      <c r="S332" s="61">
        <f t="shared" si="77"/>
        <v>0</v>
      </c>
      <c r="T332" s="66">
        <f t="shared" si="77"/>
        <v>0</v>
      </c>
      <c r="U332" s="66">
        <f t="shared" si="77"/>
        <v>0</v>
      </c>
      <c r="V332" s="66">
        <f t="shared" si="77"/>
        <v>0</v>
      </c>
      <c r="W332" s="61">
        <f t="shared" si="77"/>
        <v>0</v>
      </c>
      <c r="X332" s="66">
        <f t="shared" si="77"/>
        <v>2</v>
      </c>
      <c r="Y332" s="66">
        <f t="shared" si="77"/>
        <v>0</v>
      </c>
      <c r="Z332" s="66">
        <f t="shared" si="77"/>
        <v>0</v>
      </c>
      <c r="AA332" s="61">
        <f t="shared" si="77"/>
        <v>2</v>
      </c>
      <c r="AB332" s="66">
        <f t="shared" si="77"/>
        <v>4</v>
      </c>
      <c r="AC332" s="66">
        <f t="shared" si="77"/>
        <v>0</v>
      </c>
      <c r="AD332" s="66">
        <f t="shared" si="77"/>
        <v>0</v>
      </c>
      <c r="AE332" s="61">
        <f t="shared" si="77"/>
        <v>4</v>
      </c>
      <c r="AF332" s="68">
        <f t="shared" si="75"/>
        <v>21</v>
      </c>
    </row>
    <row r="333" spans="1:32" hidden="1" x14ac:dyDescent="0.35">
      <c r="A333" s="59" t="s">
        <v>347</v>
      </c>
      <c r="B333" s="54" t="s">
        <v>348</v>
      </c>
      <c r="C333" s="60" t="s">
        <v>225</v>
      </c>
      <c r="D333" s="60">
        <v>2</v>
      </c>
      <c r="E333" s="60"/>
      <c r="F333" s="60"/>
      <c r="G333" s="61">
        <f>SUM(D333:F333)</f>
        <v>2</v>
      </c>
      <c r="H333" s="60">
        <v>2</v>
      </c>
      <c r="I333" s="60"/>
      <c r="J333" s="60"/>
      <c r="K333" s="61">
        <f>SUM(H333:J333)</f>
        <v>2</v>
      </c>
      <c r="L333" s="60">
        <v>1</v>
      </c>
      <c r="M333" s="60"/>
      <c r="N333" s="60"/>
      <c r="O333" s="61">
        <f>SUM(L333:N333)</f>
        <v>1</v>
      </c>
      <c r="P333" s="60"/>
      <c r="Q333" s="60"/>
      <c r="R333" s="60"/>
      <c r="S333" s="61">
        <f>SUM(P333:R333)</f>
        <v>0</v>
      </c>
      <c r="T333" s="60"/>
      <c r="U333" s="60"/>
      <c r="V333" s="60"/>
      <c r="W333" s="61">
        <f>SUM(T333:V333)</f>
        <v>0</v>
      </c>
      <c r="X333" s="60"/>
      <c r="Y333" s="60"/>
      <c r="Z333" s="60"/>
      <c r="AA333" s="61">
        <f>SUM(X333:Z333)</f>
        <v>0</v>
      </c>
      <c r="AB333" s="60"/>
      <c r="AC333" s="60"/>
      <c r="AD333" s="60"/>
      <c r="AE333" s="61">
        <f>SUM(AB333:AD333)</f>
        <v>0</v>
      </c>
      <c r="AF333" s="62">
        <f t="shared" si="75"/>
        <v>5</v>
      </c>
    </row>
    <row r="334" spans="1:32" hidden="1" x14ac:dyDescent="0.35">
      <c r="A334" s="111" t="s">
        <v>349</v>
      </c>
      <c r="C334" s="63" t="s">
        <v>227</v>
      </c>
      <c r="D334" s="63">
        <v>3</v>
      </c>
      <c r="E334" s="63"/>
      <c r="F334" s="63"/>
      <c r="G334" s="61">
        <f>SUM(D334:F334)</f>
        <v>3</v>
      </c>
      <c r="H334" s="63">
        <v>1</v>
      </c>
      <c r="I334" s="63"/>
      <c r="J334" s="63"/>
      <c r="K334" s="61">
        <f>SUM(H334:J334)</f>
        <v>1</v>
      </c>
      <c r="L334" s="63">
        <v>2</v>
      </c>
      <c r="M334" s="63"/>
      <c r="N334" s="63"/>
      <c r="O334" s="61">
        <f>SUM(L334:N334)</f>
        <v>2</v>
      </c>
      <c r="P334" s="63"/>
      <c r="Q334" s="63"/>
      <c r="R334" s="63"/>
      <c r="S334" s="61">
        <f>SUM(P334:R334)</f>
        <v>0</v>
      </c>
      <c r="T334" s="63"/>
      <c r="U334" s="63"/>
      <c r="V334" s="63"/>
      <c r="W334" s="61">
        <f>SUM(T334:V334)</f>
        <v>0</v>
      </c>
      <c r="X334" s="63"/>
      <c r="Y334" s="63"/>
      <c r="Z334" s="63"/>
      <c r="AA334" s="61">
        <f>SUM(X334:Z334)</f>
        <v>0</v>
      </c>
      <c r="AB334" s="63"/>
      <c r="AC334" s="63"/>
      <c r="AD334" s="63"/>
      <c r="AE334" s="61">
        <f>SUM(AB334:AD334)</f>
        <v>0</v>
      </c>
      <c r="AF334" s="64">
        <f t="shared" si="75"/>
        <v>6</v>
      </c>
    </row>
    <row r="335" spans="1:32" hidden="1" x14ac:dyDescent="0.35">
      <c r="A335" s="111"/>
      <c r="C335" s="60" t="s">
        <v>228</v>
      </c>
      <c r="D335" s="60">
        <v>3</v>
      </c>
      <c r="E335" s="60"/>
      <c r="F335" s="60"/>
      <c r="G335" s="61">
        <f>SUM(D335:F335)</f>
        <v>3</v>
      </c>
      <c r="H335" s="60">
        <v>2</v>
      </c>
      <c r="I335" s="60"/>
      <c r="J335" s="60"/>
      <c r="K335" s="61">
        <f>SUM(H335:J335)</f>
        <v>2</v>
      </c>
      <c r="L335" s="60">
        <v>2</v>
      </c>
      <c r="M335" s="60"/>
      <c r="N335" s="60"/>
      <c r="O335" s="61">
        <f>SUM(L335:N335)</f>
        <v>2</v>
      </c>
      <c r="P335" s="60"/>
      <c r="Q335" s="60"/>
      <c r="R335" s="60"/>
      <c r="S335" s="61">
        <f>SUM(P335:R335)</f>
        <v>0</v>
      </c>
      <c r="T335" s="60"/>
      <c r="U335" s="60"/>
      <c r="V335" s="60"/>
      <c r="W335" s="61">
        <f>SUM(T335:V335)</f>
        <v>0</v>
      </c>
      <c r="X335" s="60"/>
      <c r="Y335" s="60"/>
      <c r="Z335" s="60"/>
      <c r="AA335" s="61">
        <f>SUM(X335:Z335)</f>
        <v>0</v>
      </c>
      <c r="AB335" s="60"/>
      <c r="AC335" s="60"/>
      <c r="AD335" s="60"/>
      <c r="AE335" s="61">
        <f>SUM(AB335:AD335)</f>
        <v>0</v>
      </c>
      <c r="AF335" s="65">
        <f t="shared" si="75"/>
        <v>7</v>
      </c>
    </row>
    <row r="336" spans="1:32" hidden="1" x14ac:dyDescent="0.35">
      <c r="A336" s="111"/>
      <c r="C336" s="63" t="s">
        <v>235</v>
      </c>
      <c r="D336" s="63">
        <v>8</v>
      </c>
      <c r="E336" s="63"/>
      <c r="F336" s="63"/>
      <c r="G336" s="61">
        <f>SUM(D336:F336)</f>
        <v>8</v>
      </c>
      <c r="H336" s="63"/>
      <c r="I336" s="63"/>
      <c r="J336" s="63"/>
      <c r="K336" s="61">
        <f>SUM(H336:J336)</f>
        <v>0</v>
      </c>
      <c r="L336" s="63">
        <v>4</v>
      </c>
      <c r="M336" s="63"/>
      <c r="N336" s="63"/>
      <c r="O336" s="61">
        <f>SUM(L336:N336)</f>
        <v>4</v>
      </c>
      <c r="P336" s="63"/>
      <c r="Q336" s="63"/>
      <c r="R336" s="63"/>
      <c r="S336" s="61">
        <f>SUM(P336:R336)</f>
        <v>0</v>
      </c>
      <c r="T336" s="63"/>
      <c r="U336" s="63"/>
      <c r="V336" s="63"/>
      <c r="W336" s="61">
        <f>SUM(T336:V336)</f>
        <v>0</v>
      </c>
      <c r="X336" s="63"/>
      <c r="Y336" s="63"/>
      <c r="Z336" s="63"/>
      <c r="AA336" s="61">
        <f>SUM(X336:Z336)</f>
        <v>0</v>
      </c>
      <c r="AB336" s="63"/>
      <c r="AC336" s="63"/>
      <c r="AD336" s="63"/>
      <c r="AE336" s="61">
        <f>SUM(AB336:AD336)</f>
        <v>0</v>
      </c>
      <c r="AF336" s="63">
        <f t="shared" si="75"/>
        <v>12</v>
      </c>
    </row>
    <row r="337" spans="1:32" x14ac:dyDescent="0.35">
      <c r="A337" s="66" t="s">
        <v>347</v>
      </c>
      <c r="B337" s="67" t="s">
        <v>348</v>
      </c>
      <c r="C337" s="66"/>
      <c r="D337" s="66">
        <f t="shared" ref="D337:AE337" si="78">SUM(D333:D336)</f>
        <v>16</v>
      </c>
      <c r="E337" s="66">
        <f t="shared" si="78"/>
        <v>0</v>
      </c>
      <c r="F337" s="66">
        <f t="shared" si="78"/>
        <v>0</v>
      </c>
      <c r="G337" s="61">
        <f t="shared" si="78"/>
        <v>16</v>
      </c>
      <c r="H337" s="66">
        <f t="shared" si="78"/>
        <v>5</v>
      </c>
      <c r="I337" s="66">
        <f t="shared" si="78"/>
        <v>0</v>
      </c>
      <c r="J337" s="66">
        <f t="shared" si="78"/>
        <v>0</v>
      </c>
      <c r="K337" s="61">
        <f t="shared" si="78"/>
        <v>5</v>
      </c>
      <c r="L337" s="66">
        <f t="shared" si="78"/>
        <v>9</v>
      </c>
      <c r="M337" s="66">
        <f t="shared" si="78"/>
        <v>0</v>
      </c>
      <c r="N337" s="66">
        <f t="shared" si="78"/>
        <v>0</v>
      </c>
      <c r="O337" s="61">
        <f t="shared" si="78"/>
        <v>9</v>
      </c>
      <c r="P337" s="66">
        <f t="shared" si="78"/>
        <v>0</v>
      </c>
      <c r="Q337" s="66">
        <f t="shared" si="78"/>
        <v>0</v>
      </c>
      <c r="R337" s="66">
        <f t="shared" si="78"/>
        <v>0</v>
      </c>
      <c r="S337" s="61">
        <f t="shared" si="78"/>
        <v>0</v>
      </c>
      <c r="T337" s="66">
        <f t="shared" si="78"/>
        <v>0</v>
      </c>
      <c r="U337" s="66">
        <f t="shared" si="78"/>
        <v>0</v>
      </c>
      <c r="V337" s="66">
        <f t="shared" si="78"/>
        <v>0</v>
      </c>
      <c r="W337" s="61">
        <f t="shared" si="78"/>
        <v>0</v>
      </c>
      <c r="X337" s="66">
        <f t="shared" si="78"/>
        <v>0</v>
      </c>
      <c r="Y337" s="66">
        <f t="shared" si="78"/>
        <v>0</v>
      </c>
      <c r="Z337" s="66">
        <f t="shared" si="78"/>
        <v>0</v>
      </c>
      <c r="AA337" s="61">
        <f t="shared" si="78"/>
        <v>0</v>
      </c>
      <c r="AB337" s="66">
        <f t="shared" si="78"/>
        <v>0</v>
      </c>
      <c r="AC337" s="66">
        <f t="shared" si="78"/>
        <v>0</v>
      </c>
      <c r="AD337" s="66">
        <f t="shared" si="78"/>
        <v>0</v>
      </c>
      <c r="AE337" s="61">
        <f t="shared" si="78"/>
        <v>0</v>
      </c>
      <c r="AF337" s="68">
        <f t="shared" si="75"/>
        <v>30</v>
      </c>
    </row>
    <row r="338" spans="1:32" hidden="1" x14ac:dyDescent="0.35">
      <c r="A338" s="59" t="s">
        <v>350</v>
      </c>
      <c r="B338" s="54" t="s">
        <v>351</v>
      </c>
      <c r="C338" s="60" t="s">
        <v>225</v>
      </c>
      <c r="D338" s="60">
        <v>4</v>
      </c>
      <c r="E338" s="60">
        <v>2</v>
      </c>
      <c r="F338" s="60"/>
      <c r="G338" s="61">
        <f>SUM(D338:F338)</f>
        <v>6</v>
      </c>
      <c r="H338" s="60"/>
      <c r="I338" s="60"/>
      <c r="J338" s="60"/>
      <c r="K338" s="61">
        <f>SUM(H338:J338)</f>
        <v>0</v>
      </c>
      <c r="L338" s="60"/>
      <c r="M338" s="60"/>
      <c r="N338" s="60"/>
      <c r="O338" s="61">
        <f>SUM(L338:N338)</f>
        <v>0</v>
      </c>
      <c r="P338" s="60"/>
      <c r="Q338" s="60"/>
      <c r="R338" s="60"/>
      <c r="S338" s="61">
        <f>SUM(P338:R338)</f>
        <v>0</v>
      </c>
      <c r="T338" s="60"/>
      <c r="U338" s="60"/>
      <c r="V338" s="60"/>
      <c r="W338" s="61">
        <f>SUM(T338:V338)</f>
        <v>0</v>
      </c>
      <c r="X338" s="60"/>
      <c r="Y338" s="60"/>
      <c r="Z338" s="60"/>
      <c r="AA338" s="61">
        <f>SUM(X338:Z338)</f>
        <v>0</v>
      </c>
      <c r="AB338" s="60"/>
      <c r="AC338" s="60"/>
      <c r="AD338" s="60"/>
      <c r="AE338" s="61">
        <f>SUM(AB338:AD338)</f>
        <v>0</v>
      </c>
      <c r="AF338" s="62">
        <f t="shared" si="75"/>
        <v>6</v>
      </c>
    </row>
    <row r="339" spans="1:32" hidden="1" x14ac:dyDescent="0.35">
      <c r="A339" s="111" t="s">
        <v>278</v>
      </c>
      <c r="C339" s="63" t="s">
        <v>227</v>
      </c>
      <c r="D339" s="63">
        <v>16</v>
      </c>
      <c r="E339" s="63">
        <v>1</v>
      </c>
      <c r="F339" s="63"/>
      <c r="G339" s="61">
        <f>SUM(D339:F339)</f>
        <v>17</v>
      </c>
      <c r="H339" s="63"/>
      <c r="I339" s="63"/>
      <c r="J339" s="63"/>
      <c r="K339" s="61">
        <f>SUM(H339:J339)</f>
        <v>0</v>
      </c>
      <c r="L339" s="63">
        <v>1</v>
      </c>
      <c r="M339" s="63">
        <v>1</v>
      </c>
      <c r="N339" s="63"/>
      <c r="O339" s="61">
        <f>SUM(L339:N339)</f>
        <v>2</v>
      </c>
      <c r="P339" s="63"/>
      <c r="Q339" s="63"/>
      <c r="R339" s="63"/>
      <c r="S339" s="61">
        <f>SUM(P339:R339)</f>
        <v>0</v>
      </c>
      <c r="T339" s="63"/>
      <c r="U339" s="63"/>
      <c r="V339" s="63"/>
      <c r="W339" s="61">
        <f>SUM(T339:V339)</f>
        <v>0</v>
      </c>
      <c r="X339" s="63"/>
      <c r="Y339" s="63"/>
      <c r="Z339" s="63"/>
      <c r="AA339" s="61">
        <f>SUM(X339:Z339)</f>
        <v>0</v>
      </c>
      <c r="AB339" s="63"/>
      <c r="AC339" s="63"/>
      <c r="AD339" s="63"/>
      <c r="AE339" s="61">
        <f>SUM(AB339:AD339)</f>
        <v>0</v>
      </c>
      <c r="AF339" s="64">
        <f t="shared" si="75"/>
        <v>19</v>
      </c>
    </row>
    <row r="340" spans="1:32" hidden="1" x14ac:dyDescent="0.35">
      <c r="A340" s="111"/>
      <c r="C340" s="60" t="s">
        <v>228</v>
      </c>
      <c r="D340" s="60">
        <v>14</v>
      </c>
      <c r="E340" s="60">
        <v>1</v>
      </c>
      <c r="F340" s="60"/>
      <c r="G340" s="61">
        <f>SUM(D340:F340)</f>
        <v>15</v>
      </c>
      <c r="H340" s="60"/>
      <c r="I340" s="60"/>
      <c r="J340" s="60"/>
      <c r="K340" s="61">
        <f>SUM(H340:J340)</f>
        <v>0</v>
      </c>
      <c r="L340" s="60"/>
      <c r="M340" s="60"/>
      <c r="N340" s="60"/>
      <c r="O340" s="61">
        <f>SUM(L340:N340)</f>
        <v>0</v>
      </c>
      <c r="P340" s="60"/>
      <c r="Q340" s="60"/>
      <c r="R340" s="60"/>
      <c r="S340" s="61">
        <f>SUM(P340:R340)</f>
        <v>0</v>
      </c>
      <c r="T340" s="60"/>
      <c r="U340" s="60"/>
      <c r="V340" s="60"/>
      <c r="W340" s="61">
        <f>SUM(T340:V340)</f>
        <v>0</v>
      </c>
      <c r="X340" s="60"/>
      <c r="Y340" s="60"/>
      <c r="Z340" s="60"/>
      <c r="AA340" s="61">
        <f>SUM(X340:Z340)</f>
        <v>0</v>
      </c>
      <c r="AB340" s="60"/>
      <c r="AC340" s="60"/>
      <c r="AD340" s="60"/>
      <c r="AE340" s="61">
        <f>SUM(AB340:AD340)</f>
        <v>0</v>
      </c>
      <c r="AF340" s="65">
        <f t="shared" si="75"/>
        <v>15</v>
      </c>
    </row>
    <row r="341" spans="1:32" hidden="1" x14ac:dyDescent="0.35">
      <c r="A341" s="111"/>
      <c r="C341" s="63" t="s">
        <v>235</v>
      </c>
      <c r="D341" s="63">
        <v>10</v>
      </c>
      <c r="E341" s="63">
        <v>1</v>
      </c>
      <c r="F341" s="63"/>
      <c r="G341" s="61">
        <f>SUM(D341:F341)</f>
        <v>11</v>
      </c>
      <c r="H341" s="63"/>
      <c r="I341" s="63"/>
      <c r="J341" s="63"/>
      <c r="K341" s="61">
        <f>SUM(H341:J341)</f>
        <v>0</v>
      </c>
      <c r="L341" s="63"/>
      <c r="M341" s="63"/>
      <c r="N341" s="63"/>
      <c r="O341" s="61">
        <f>SUM(L341:N341)</f>
        <v>0</v>
      </c>
      <c r="P341" s="63"/>
      <c r="Q341" s="63"/>
      <c r="R341" s="63"/>
      <c r="S341" s="61">
        <f>SUM(P341:R341)</f>
        <v>0</v>
      </c>
      <c r="T341" s="63"/>
      <c r="U341" s="63"/>
      <c r="V341" s="63"/>
      <c r="W341" s="61">
        <f>SUM(T341:V341)</f>
        <v>0</v>
      </c>
      <c r="X341" s="63"/>
      <c r="Y341" s="63"/>
      <c r="Z341" s="63"/>
      <c r="AA341" s="61">
        <f>SUM(X341:Z341)</f>
        <v>0</v>
      </c>
      <c r="AB341" s="63"/>
      <c r="AC341" s="63"/>
      <c r="AD341" s="63"/>
      <c r="AE341" s="61">
        <f>SUM(AB341:AD341)</f>
        <v>0</v>
      </c>
      <c r="AF341" s="63">
        <f t="shared" si="75"/>
        <v>11</v>
      </c>
    </row>
    <row r="342" spans="1:32" hidden="1" x14ac:dyDescent="0.35">
      <c r="A342" s="66" t="s">
        <v>352</v>
      </c>
      <c r="B342" s="67"/>
      <c r="C342" s="66"/>
      <c r="D342" s="66">
        <f t="shared" ref="D342:AE342" si="79">SUM(D338:D341)</f>
        <v>44</v>
      </c>
      <c r="E342" s="66">
        <f t="shared" si="79"/>
        <v>5</v>
      </c>
      <c r="F342" s="66">
        <f t="shared" si="79"/>
        <v>0</v>
      </c>
      <c r="G342" s="61">
        <f t="shared" si="79"/>
        <v>49</v>
      </c>
      <c r="H342" s="66">
        <f t="shared" si="79"/>
        <v>0</v>
      </c>
      <c r="I342" s="66">
        <f t="shared" si="79"/>
        <v>0</v>
      </c>
      <c r="J342" s="66">
        <f t="shared" si="79"/>
        <v>0</v>
      </c>
      <c r="K342" s="61">
        <f t="shared" si="79"/>
        <v>0</v>
      </c>
      <c r="L342" s="66">
        <f t="shared" si="79"/>
        <v>1</v>
      </c>
      <c r="M342" s="66">
        <f t="shared" si="79"/>
        <v>1</v>
      </c>
      <c r="N342" s="66">
        <f t="shared" si="79"/>
        <v>0</v>
      </c>
      <c r="O342" s="61">
        <f t="shared" si="79"/>
        <v>2</v>
      </c>
      <c r="P342" s="66">
        <f t="shared" si="79"/>
        <v>0</v>
      </c>
      <c r="Q342" s="66">
        <f t="shared" si="79"/>
        <v>0</v>
      </c>
      <c r="R342" s="66">
        <f t="shared" si="79"/>
        <v>0</v>
      </c>
      <c r="S342" s="61">
        <f t="shared" si="79"/>
        <v>0</v>
      </c>
      <c r="T342" s="66">
        <f t="shared" si="79"/>
        <v>0</v>
      </c>
      <c r="U342" s="66">
        <f t="shared" si="79"/>
        <v>0</v>
      </c>
      <c r="V342" s="66">
        <f t="shared" si="79"/>
        <v>0</v>
      </c>
      <c r="W342" s="61">
        <f t="shared" si="79"/>
        <v>0</v>
      </c>
      <c r="X342" s="66">
        <f t="shared" si="79"/>
        <v>0</v>
      </c>
      <c r="Y342" s="66">
        <f t="shared" si="79"/>
        <v>0</v>
      </c>
      <c r="Z342" s="66">
        <f t="shared" si="79"/>
        <v>0</v>
      </c>
      <c r="AA342" s="61">
        <f t="shared" si="79"/>
        <v>0</v>
      </c>
      <c r="AB342" s="66">
        <f t="shared" si="79"/>
        <v>0</v>
      </c>
      <c r="AC342" s="66">
        <f t="shared" si="79"/>
        <v>0</v>
      </c>
      <c r="AD342" s="66">
        <f t="shared" si="79"/>
        <v>0</v>
      </c>
      <c r="AE342" s="61">
        <f t="shared" si="79"/>
        <v>0</v>
      </c>
      <c r="AF342" s="68">
        <f t="shared" si="75"/>
        <v>51</v>
      </c>
    </row>
    <row r="343" spans="1:32" hidden="1" x14ac:dyDescent="0.35">
      <c r="A343" s="111" t="s">
        <v>249</v>
      </c>
      <c r="C343" s="60" t="s">
        <v>225</v>
      </c>
      <c r="D343" s="60">
        <v>3</v>
      </c>
      <c r="E343" s="60"/>
      <c r="F343" s="60"/>
      <c r="G343" s="61">
        <f>SUM(D343:F343)</f>
        <v>3</v>
      </c>
      <c r="H343" s="60"/>
      <c r="I343" s="60"/>
      <c r="J343" s="60"/>
      <c r="K343" s="61">
        <f>SUM(H343:J343)</f>
        <v>0</v>
      </c>
      <c r="L343" s="60">
        <v>3</v>
      </c>
      <c r="M343" s="60"/>
      <c r="N343" s="60"/>
      <c r="O343" s="61">
        <f>SUM(L343:N343)</f>
        <v>3</v>
      </c>
      <c r="P343" s="60"/>
      <c r="Q343" s="60"/>
      <c r="R343" s="60"/>
      <c r="S343" s="61">
        <f>SUM(P343:R343)</f>
        <v>0</v>
      </c>
      <c r="T343" s="60"/>
      <c r="U343" s="60"/>
      <c r="V343" s="60"/>
      <c r="W343" s="61">
        <f>SUM(T343:V343)</f>
        <v>0</v>
      </c>
      <c r="X343" s="60"/>
      <c r="Y343" s="60"/>
      <c r="Z343" s="60"/>
      <c r="AA343" s="61">
        <f>SUM(X343:Z343)</f>
        <v>0</v>
      </c>
      <c r="AB343" s="60"/>
      <c r="AC343" s="60"/>
      <c r="AD343" s="60"/>
      <c r="AE343" s="61">
        <f>SUM(AB343:AD343)</f>
        <v>0</v>
      </c>
      <c r="AF343" s="62">
        <f t="shared" si="75"/>
        <v>6</v>
      </c>
    </row>
    <row r="344" spans="1:32" hidden="1" x14ac:dyDescent="0.35">
      <c r="A344" s="111"/>
      <c r="C344" s="63" t="s">
        <v>227</v>
      </c>
      <c r="D344" s="63"/>
      <c r="E344" s="63"/>
      <c r="F344" s="63"/>
      <c r="G344" s="61">
        <f>SUM(D344:F344)</f>
        <v>0</v>
      </c>
      <c r="H344" s="63"/>
      <c r="I344" s="63"/>
      <c r="J344" s="63"/>
      <c r="K344" s="61">
        <f>SUM(H344:J344)</f>
        <v>0</v>
      </c>
      <c r="L344" s="63">
        <v>3</v>
      </c>
      <c r="M344" s="63"/>
      <c r="N344" s="63"/>
      <c r="O344" s="61">
        <f>SUM(L344:N344)</f>
        <v>3</v>
      </c>
      <c r="P344" s="63"/>
      <c r="Q344" s="63"/>
      <c r="R344" s="63"/>
      <c r="S344" s="61">
        <f>SUM(P344:R344)</f>
        <v>0</v>
      </c>
      <c r="T344" s="63"/>
      <c r="U344" s="63"/>
      <c r="V344" s="63"/>
      <c r="W344" s="61">
        <f>SUM(T344:V344)</f>
        <v>0</v>
      </c>
      <c r="X344" s="63"/>
      <c r="Y344" s="63"/>
      <c r="Z344" s="63"/>
      <c r="AA344" s="61">
        <f>SUM(X344:Z344)</f>
        <v>0</v>
      </c>
      <c r="AB344" s="63">
        <v>1</v>
      </c>
      <c r="AC344" s="63">
        <v>1</v>
      </c>
      <c r="AD344" s="63"/>
      <c r="AE344" s="61">
        <f>SUM(AB344:AD344)</f>
        <v>2</v>
      </c>
      <c r="AF344" s="64">
        <f t="shared" si="75"/>
        <v>5</v>
      </c>
    </row>
    <row r="345" spans="1:32" hidden="1" x14ac:dyDescent="0.35">
      <c r="A345" s="111"/>
      <c r="C345" s="60" t="s">
        <v>228</v>
      </c>
      <c r="D345" s="60">
        <v>7</v>
      </c>
      <c r="E345" s="60"/>
      <c r="F345" s="60"/>
      <c r="G345" s="61">
        <f>SUM(D345:F345)</f>
        <v>7</v>
      </c>
      <c r="H345" s="60"/>
      <c r="I345" s="60"/>
      <c r="J345" s="60"/>
      <c r="K345" s="61">
        <f>SUM(H345:J345)</f>
        <v>0</v>
      </c>
      <c r="L345" s="60">
        <v>1</v>
      </c>
      <c r="M345" s="60">
        <v>1</v>
      </c>
      <c r="N345" s="60"/>
      <c r="O345" s="61">
        <f>SUM(L345:N345)</f>
        <v>2</v>
      </c>
      <c r="P345" s="60"/>
      <c r="Q345" s="60"/>
      <c r="R345" s="60"/>
      <c r="S345" s="61">
        <f>SUM(P345:R345)</f>
        <v>0</v>
      </c>
      <c r="T345" s="60"/>
      <c r="U345" s="60"/>
      <c r="V345" s="60"/>
      <c r="W345" s="61">
        <f>SUM(T345:V345)</f>
        <v>0</v>
      </c>
      <c r="X345" s="60"/>
      <c r="Y345" s="60"/>
      <c r="Z345" s="60"/>
      <c r="AA345" s="61">
        <f>SUM(X345:Z345)</f>
        <v>0</v>
      </c>
      <c r="AB345" s="60"/>
      <c r="AC345" s="60"/>
      <c r="AD345" s="60"/>
      <c r="AE345" s="61">
        <f>SUM(AB345:AD345)</f>
        <v>0</v>
      </c>
      <c r="AF345" s="65">
        <f t="shared" si="75"/>
        <v>9</v>
      </c>
    </row>
    <row r="346" spans="1:32" hidden="1" x14ac:dyDescent="0.35">
      <c r="A346" s="111"/>
      <c r="C346" s="63" t="s">
        <v>235</v>
      </c>
      <c r="D346" s="63"/>
      <c r="E346" s="63">
        <v>1</v>
      </c>
      <c r="F346" s="63"/>
      <c r="G346" s="61">
        <f>SUM(D346:F346)</f>
        <v>1</v>
      </c>
      <c r="H346" s="63">
        <v>1</v>
      </c>
      <c r="I346" s="63"/>
      <c r="J346" s="63"/>
      <c r="K346" s="61">
        <f>SUM(H346:J346)</f>
        <v>1</v>
      </c>
      <c r="L346" s="63"/>
      <c r="M346" s="63"/>
      <c r="N346" s="63"/>
      <c r="O346" s="61">
        <f>SUM(L346:N346)</f>
        <v>0</v>
      </c>
      <c r="P346" s="63"/>
      <c r="Q346" s="63"/>
      <c r="R346" s="63"/>
      <c r="S346" s="61">
        <f>SUM(P346:R346)</f>
        <v>0</v>
      </c>
      <c r="T346" s="63"/>
      <c r="U346" s="63"/>
      <c r="V346" s="63"/>
      <c r="W346" s="61">
        <f>SUM(T346:V346)</f>
        <v>0</v>
      </c>
      <c r="X346" s="63"/>
      <c r="Y346" s="63"/>
      <c r="Z346" s="63"/>
      <c r="AA346" s="61">
        <f>SUM(X346:Z346)</f>
        <v>0</v>
      </c>
      <c r="AB346" s="63">
        <v>13</v>
      </c>
      <c r="AC346" s="63"/>
      <c r="AD346" s="63"/>
      <c r="AE346" s="61">
        <f>SUM(AB346:AD346)</f>
        <v>13</v>
      </c>
      <c r="AF346" s="63">
        <f t="shared" si="75"/>
        <v>15</v>
      </c>
    </row>
    <row r="347" spans="1:32" hidden="1" x14ac:dyDescent="0.35">
      <c r="A347" s="76" t="s">
        <v>249</v>
      </c>
      <c r="B347" s="67"/>
      <c r="C347" s="66"/>
      <c r="D347" s="66">
        <f t="shared" ref="D347:AE347" si="80">SUM(D343:D346)</f>
        <v>10</v>
      </c>
      <c r="E347" s="66">
        <f t="shared" si="80"/>
        <v>1</v>
      </c>
      <c r="F347" s="66">
        <f t="shared" si="80"/>
        <v>0</v>
      </c>
      <c r="G347" s="61">
        <f t="shared" si="80"/>
        <v>11</v>
      </c>
      <c r="H347" s="66">
        <f t="shared" si="80"/>
        <v>1</v>
      </c>
      <c r="I347" s="66">
        <f t="shared" si="80"/>
        <v>0</v>
      </c>
      <c r="J347" s="66">
        <f t="shared" si="80"/>
        <v>0</v>
      </c>
      <c r="K347" s="61">
        <f t="shared" si="80"/>
        <v>1</v>
      </c>
      <c r="L347" s="66">
        <f t="shared" si="80"/>
        <v>7</v>
      </c>
      <c r="M347" s="66">
        <f t="shared" si="80"/>
        <v>1</v>
      </c>
      <c r="N347" s="66">
        <f t="shared" si="80"/>
        <v>0</v>
      </c>
      <c r="O347" s="61">
        <f t="shared" si="80"/>
        <v>8</v>
      </c>
      <c r="P347" s="66">
        <f t="shared" si="80"/>
        <v>0</v>
      </c>
      <c r="Q347" s="66">
        <f t="shared" si="80"/>
        <v>0</v>
      </c>
      <c r="R347" s="66">
        <f t="shared" si="80"/>
        <v>0</v>
      </c>
      <c r="S347" s="61">
        <f t="shared" si="80"/>
        <v>0</v>
      </c>
      <c r="T347" s="66">
        <f t="shared" si="80"/>
        <v>0</v>
      </c>
      <c r="U347" s="66">
        <f t="shared" si="80"/>
        <v>0</v>
      </c>
      <c r="V347" s="66">
        <f t="shared" si="80"/>
        <v>0</v>
      </c>
      <c r="W347" s="61">
        <f t="shared" si="80"/>
        <v>0</v>
      </c>
      <c r="X347" s="66">
        <f t="shared" si="80"/>
        <v>0</v>
      </c>
      <c r="Y347" s="66">
        <f t="shared" si="80"/>
        <v>0</v>
      </c>
      <c r="Z347" s="66">
        <f t="shared" si="80"/>
        <v>0</v>
      </c>
      <c r="AA347" s="61">
        <f t="shared" si="80"/>
        <v>0</v>
      </c>
      <c r="AB347" s="66">
        <f t="shared" si="80"/>
        <v>14</v>
      </c>
      <c r="AC347" s="66">
        <f t="shared" si="80"/>
        <v>1</v>
      </c>
      <c r="AD347" s="66">
        <f t="shared" si="80"/>
        <v>0</v>
      </c>
      <c r="AE347" s="61">
        <f t="shared" si="80"/>
        <v>15</v>
      </c>
      <c r="AF347" s="68">
        <f t="shared" si="75"/>
        <v>35</v>
      </c>
    </row>
    <row r="348" spans="1:32" x14ac:dyDescent="0.35">
      <c r="A348" s="66" t="s">
        <v>350</v>
      </c>
      <c r="B348" s="67" t="s">
        <v>351</v>
      </c>
      <c r="C348" s="66"/>
      <c r="D348" s="66">
        <f t="shared" ref="D348:AE348" si="81">SUM(D347,D342)</f>
        <v>54</v>
      </c>
      <c r="E348" s="66">
        <f t="shared" si="81"/>
        <v>6</v>
      </c>
      <c r="F348" s="66">
        <f t="shared" si="81"/>
        <v>0</v>
      </c>
      <c r="G348" s="61">
        <f t="shared" si="81"/>
        <v>60</v>
      </c>
      <c r="H348" s="66">
        <f t="shared" si="81"/>
        <v>1</v>
      </c>
      <c r="I348" s="66">
        <f t="shared" si="81"/>
        <v>0</v>
      </c>
      <c r="J348" s="66">
        <f t="shared" si="81"/>
        <v>0</v>
      </c>
      <c r="K348" s="61">
        <f t="shared" si="81"/>
        <v>1</v>
      </c>
      <c r="L348" s="66">
        <f t="shared" si="81"/>
        <v>8</v>
      </c>
      <c r="M348" s="66">
        <f t="shared" si="81"/>
        <v>2</v>
      </c>
      <c r="N348" s="66">
        <f t="shared" si="81"/>
        <v>0</v>
      </c>
      <c r="O348" s="61">
        <f t="shared" si="81"/>
        <v>10</v>
      </c>
      <c r="P348" s="66">
        <f t="shared" si="81"/>
        <v>0</v>
      </c>
      <c r="Q348" s="66">
        <f t="shared" si="81"/>
        <v>0</v>
      </c>
      <c r="R348" s="66">
        <f t="shared" si="81"/>
        <v>0</v>
      </c>
      <c r="S348" s="61">
        <f t="shared" si="81"/>
        <v>0</v>
      </c>
      <c r="T348" s="66">
        <f t="shared" si="81"/>
        <v>0</v>
      </c>
      <c r="U348" s="66">
        <f t="shared" si="81"/>
        <v>0</v>
      </c>
      <c r="V348" s="66">
        <f t="shared" si="81"/>
        <v>0</v>
      </c>
      <c r="W348" s="61">
        <f t="shared" si="81"/>
        <v>0</v>
      </c>
      <c r="X348" s="66">
        <f t="shared" si="81"/>
        <v>0</v>
      </c>
      <c r="Y348" s="66">
        <f t="shared" si="81"/>
        <v>0</v>
      </c>
      <c r="Z348" s="66">
        <f t="shared" si="81"/>
        <v>0</v>
      </c>
      <c r="AA348" s="61">
        <f t="shared" si="81"/>
        <v>0</v>
      </c>
      <c r="AB348" s="66">
        <f t="shared" si="81"/>
        <v>14</v>
      </c>
      <c r="AC348" s="66">
        <f t="shared" si="81"/>
        <v>1</v>
      </c>
      <c r="AD348" s="66">
        <f t="shared" si="81"/>
        <v>0</v>
      </c>
      <c r="AE348" s="61">
        <f t="shared" si="81"/>
        <v>15</v>
      </c>
      <c r="AF348" s="68">
        <f t="shared" si="75"/>
        <v>86</v>
      </c>
    </row>
    <row r="349" spans="1:32" hidden="1" x14ac:dyDescent="0.35">
      <c r="A349" s="59" t="s">
        <v>353</v>
      </c>
      <c r="C349" s="60" t="s">
        <v>225</v>
      </c>
      <c r="D349" s="60"/>
      <c r="E349" s="60"/>
      <c r="F349" s="60"/>
      <c r="G349" s="61">
        <f>SUM(D349:F349)</f>
        <v>0</v>
      </c>
      <c r="H349" s="60"/>
      <c r="I349" s="60"/>
      <c r="J349" s="60"/>
      <c r="K349" s="61">
        <f>SUM(H349:J349)</f>
        <v>0</v>
      </c>
      <c r="L349" s="60"/>
      <c r="M349" s="60"/>
      <c r="N349" s="60"/>
      <c r="O349" s="61">
        <f>SUM(L349:N349)</f>
        <v>0</v>
      </c>
      <c r="P349" s="60"/>
      <c r="Q349" s="60"/>
      <c r="R349" s="60"/>
      <c r="S349" s="61">
        <f>SUM(P349:R349)</f>
        <v>0</v>
      </c>
      <c r="T349" s="60"/>
      <c r="U349" s="60"/>
      <c r="V349" s="60"/>
      <c r="W349" s="61">
        <f>SUM(T349:V349)</f>
        <v>0</v>
      </c>
      <c r="X349" s="60"/>
      <c r="Y349" s="60"/>
      <c r="Z349" s="60"/>
      <c r="AA349" s="61">
        <f>SUM(X349:Z349)</f>
        <v>0</v>
      </c>
      <c r="AB349" s="60">
        <v>2</v>
      </c>
      <c r="AC349" s="60"/>
      <c r="AD349" s="60"/>
      <c r="AE349" s="61">
        <f>SUM(AB349:AD349)</f>
        <v>2</v>
      </c>
      <c r="AF349" s="62">
        <f t="shared" si="75"/>
        <v>2</v>
      </c>
    </row>
    <row r="350" spans="1:32" hidden="1" x14ac:dyDescent="0.35">
      <c r="A350" s="111" t="s">
        <v>354</v>
      </c>
      <c r="C350" s="63" t="s">
        <v>227</v>
      </c>
      <c r="D350" s="63">
        <v>1</v>
      </c>
      <c r="E350" s="63"/>
      <c r="F350" s="63"/>
      <c r="G350" s="61">
        <f>SUM(D350:F350)</f>
        <v>1</v>
      </c>
      <c r="H350" s="63"/>
      <c r="I350" s="63"/>
      <c r="J350" s="63"/>
      <c r="K350" s="61">
        <f>SUM(H350:J350)</f>
        <v>0</v>
      </c>
      <c r="L350" s="63"/>
      <c r="M350" s="63"/>
      <c r="N350" s="63"/>
      <c r="O350" s="61">
        <f>SUM(L350:N350)</f>
        <v>0</v>
      </c>
      <c r="P350" s="63">
        <v>1</v>
      </c>
      <c r="Q350" s="63"/>
      <c r="R350" s="63"/>
      <c r="S350" s="61">
        <f>SUM(P350:R350)</f>
        <v>1</v>
      </c>
      <c r="T350" s="63"/>
      <c r="U350" s="63"/>
      <c r="V350" s="63"/>
      <c r="W350" s="61">
        <f>SUM(T350:V350)</f>
        <v>0</v>
      </c>
      <c r="X350" s="63"/>
      <c r="Y350" s="63"/>
      <c r="Z350" s="63"/>
      <c r="AA350" s="61">
        <f>SUM(X350:Z350)</f>
        <v>0</v>
      </c>
      <c r="AB350" s="63"/>
      <c r="AC350" s="63"/>
      <c r="AD350" s="63"/>
      <c r="AE350" s="61">
        <f>SUM(AB350:AD350)</f>
        <v>0</v>
      </c>
      <c r="AF350" s="64">
        <f t="shared" si="75"/>
        <v>2</v>
      </c>
    </row>
    <row r="351" spans="1:32" hidden="1" x14ac:dyDescent="0.35">
      <c r="A351" s="111"/>
      <c r="C351" s="60" t="s">
        <v>228</v>
      </c>
      <c r="D351" s="60"/>
      <c r="E351" s="60"/>
      <c r="F351" s="60"/>
      <c r="G351" s="61">
        <f>SUM(D351:F351)</f>
        <v>0</v>
      </c>
      <c r="H351" s="60"/>
      <c r="I351" s="60"/>
      <c r="J351" s="60"/>
      <c r="K351" s="61">
        <f>SUM(H351:J351)</f>
        <v>0</v>
      </c>
      <c r="L351" s="60"/>
      <c r="M351" s="60"/>
      <c r="N351" s="60"/>
      <c r="O351" s="61">
        <f>SUM(L351:N351)</f>
        <v>0</v>
      </c>
      <c r="P351" s="60"/>
      <c r="Q351" s="60"/>
      <c r="R351" s="60"/>
      <c r="S351" s="61">
        <f>SUM(P351:R351)</f>
        <v>0</v>
      </c>
      <c r="T351" s="60"/>
      <c r="U351" s="60"/>
      <c r="V351" s="60"/>
      <c r="W351" s="61">
        <f>SUM(T351:V351)</f>
        <v>0</v>
      </c>
      <c r="X351" s="60"/>
      <c r="Y351" s="60"/>
      <c r="Z351" s="60"/>
      <c r="AA351" s="61">
        <f>SUM(X351:Z351)</f>
        <v>0</v>
      </c>
      <c r="AB351" s="60">
        <v>1</v>
      </c>
      <c r="AC351" s="60"/>
      <c r="AD351" s="60"/>
      <c r="AE351" s="61">
        <f>SUM(AB351:AD351)</f>
        <v>1</v>
      </c>
      <c r="AF351" s="65">
        <f t="shared" si="75"/>
        <v>1</v>
      </c>
    </row>
    <row r="352" spans="1:32" hidden="1" x14ac:dyDescent="0.35">
      <c r="A352" s="111"/>
      <c r="C352" s="69" t="s">
        <v>235</v>
      </c>
      <c r="D352" s="69"/>
      <c r="E352" s="69"/>
      <c r="F352" s="69"/>
      <c r="G352" s="56">
        <f>SUM(D352:F352)</f>
        <v>0</v>
      </c>
      <c r="H352" s="69"/>
      <c r="I352" s="69"/>
      <c r="J352" s="69"/>
      <c r="K352" s="56">
        <f>SUM(H352:J352)</f>
        <v>0</v>
      </c>
      <c r="L352" s="69"/>
      <c r="M352" s="69"/>
      <c r="N352" s="69"/>
      <c r="O352" s="56">
        <f>SUM(L352:N352)</f>
        <v>0</v>
      </c>
      <c r="P352" s="69"/>
      <c r="Q352" s="69"/>
      <c r="R352" s="69"/>
      <c r="S352" s="56">
        <f>SUM(P352:R352)</f>
        <v>0</v>
      </c>
      <c r="T352" s="69"/>
      <c r="U352" s="69"/>
      <c r="V352" s="69"/>
      <c r="W352" s="56">
        <f>SUM(T352:V352)</f>
        <v>0</v>
      </c>
      <c r="X352" s="69"/>
      <c r="Y352" s="69"/>
      <c r="Z352" s="69"/>
      <c r="AA352" s="56">
        <f>SUM(X352:Z352)</f>
        <v>0</v>
      </c>
      <c r="AB352" s="69"/>
      <c r="AC352" s="69"/>
      <c r="AD352" s="69"/>
      <c r="AE352" s="56">
        <f>SUM(AB352:AD352)</f>
        <v>0</v>
      </c>
      <c r="AF352" s="69">
        <f t="shared" si="75"/>
        <v>0</v>
      </c>
    </row>
    <row r="353" spans="1:35" hidden="1" x14ac:dyDescent="0.35">
      <c r="A353" s="78" t="s">
        <v>354</v>
      </c>
      <c r="B353" s="67"/>
      <c r="C353" s="66"/>
      <c r="D353" s="66">
        <f t="shared" ref="D353:AF353" si="82">SUM(D349:D352)</f>
        <v>1</v>
      </c>
      <c r="E353" s="66">
        <f t="shared" si="82"/>
        <v>0</v>
      </c>
      <c r="F353" s="66">
        <f t="shared" si="82"/>
        <v>0</v>
      </c>
      <c r="G353" s="66">
        <f t="shared" si="82"/>
        <v>1</v>
      </c>
      <c r="H353" s="66">
        <f t="shared" si="82"/>
        <v>0</v>
      </c>
      <c r="I353" s="66">
        <f t="shared" si="82"/>
        <v>0</v>
      </c>
      <c r="J353" s="66">
        <f t="shared" si="82"/>
        <v>0</v>
      </c>
      <c r="K353" s="66">
        <f t="shared" si="82"/>
        <v>0</v>
      </c>
      <c r="L353" s="66">
        <f t="shared" si="82"/>
        <v>0</v>
      </c>
      <c r="M353" s="66">
        <f t="shared" si="82"/>
        <v>0</v>
      </c>
      <c r="N353" s="66">
        <f t="shared" si="82"/>
        <v>0</v>
      </c>
      <c r="O353" s="66">
        <f t="shared" si="82"/>
        <v>0</v>
      </c>
      <c r="P353" s="66">
        <f t="shared" si="82"/>
        <v>1</v>
      </c>
      <c r="Q353" s="66">
        <f t="shared" si="82"/>
        <v>0</v>
      </c>
      <c r="R353" s="66">
        <f t="shared" si="82"/>
        <v>0</v>
      </c>
      <c r="S353" s="66">
        <f t="shared" si="82"/>
        <v>1</v>
      </c>
      <c r="T353" s="66">
        <f t="shared" si="82"/>
        <v>0</v>
      </c>
      <c r="U353" s="66">
        <f t="shared" si="82"/>
        <v>0</v>
      </c>
      <c r="V353" s="66">
        <f t="shared" si="82"/>
        <v>0</v>
      </c>
      <c r="W353" s="66">
        <f t="shared" si="82"/>
        <v>0</v>
      </c>
      <c r="X353" s="66">
        <f t="shared" si="82"/>
        <v>0</v>
      </c>
      <c r="Y353" s="66">
        <f t="shared" si="82"/>
        <v>0</v>
      </c>
      <c r="Z353" s="66">
        <f t="shared" si="82"/>
        <v>0</v>
      </c>
      <c r="AA353" s="66">
        <f t="shared" si="82"/>
        <v>0</v>
      </c>
      <c r="AB353" s="66">
        <f t="shared" si="82"/>
        <v>3</v>
      </c>
      <c r="AC353" s="66">
        <f t="shared" si="82"/>
        <v>0</v>
      </c>
      <c r="AD353" s="66">
        <f t="shared" si="82"/>
        <v>0</v>
      </c>
      <c r="AE353" s="66">
        <f t="shared" si="82"/>
        <v>3</v>
      </c>
      <c r="AF353" s="66">
        <f t="shared" si="82"/>
        <v>5</v>
      </c>
    </row>
    <row r="354" spans="1:35" hidden="1" x14ac:dyDescent="0.35">
      <c r="A354" s="79"/>
      <c r="C354" s="80" t="s">
        <v>225</v>
      </c>
      <c r="D354" s="80"/>
      <c r="E354" s="80"/>
      <c r="F354" s="80"/>
      <c r="G354" s="81">
        <f>SUM(D354:F354)</f>
        <v>0</v>
      </c>
      <c r="H354" s="80"/>
      <c r="I354" s="80"/>
      <c r="J354" s="80"/>
      <c r="K354" s="81">
        <f>SUM(H354:J354)</f>
        <v>0</v>
      </c>
      <c r="L354" s="80"/>
      <c r="M354" s="80"/>
      <c r="N354" s="80"/>
      <c r="O354" s="81">
        <f>SUM(L354:N354)</f>
        <v>0</v>
      </c>
      <c r="P354" s="80"/>
      <c r="Q354" s="80"/>
      <c r="R354" s="80"/>
      <c r="S354" s="81">
        <f>SUM(P354:R354)</f>
        <v>0</v>
      </c>
      <c r="T354" s="80"/>
      <c r="U354" s="80"/>
      <c r="V354" s="80"/>
      <c r="W354" s="81">
        <f>SUM(T354:V354)</f>
        <v>0</v>
      </c>
      <c r="X354" s="80"/>
      <c r="Y354" s="80"/>
      <c r="Z354" s="80"/>
      <c r="AA354" s="81">
        <f>SUM(X354:Z354)</f>
        <v>0</v>
      </c>
      <c r="AB354" s="80"/>
      <c r="AC354" s="80"/>
      <c r="AD354" s="80"/>
      <c r="AE354" s="81">
        <f>SUM(AB354:AD354)</f>
        <v>0</v>
      </c>
      <c r="AF354" s="82">
        <f>SUM(G354,K354,O354,S354,W354,AA354,AE354)</f>
        <v>0</v>
      </c>
    </row>
    <row r="355" spans="1:35" hidden="1" x14ac:dyDescent="0.35">
      <c r="A355" s="111" t="s">
        <v>355</v>
      </c>
      <c r="C355" s="63" t="s">
        <v>227</v>
      </c>
      <c r="D355" s="63"/>
      <c r="E355" s="63"/>
      <c r="F355" s="63"/>
      <c r="G355" s="61">
        <f>SUM(D355:F355)</f>
        <v>0</v>
      </c>
      <c r="H355" s="63"/>
      <c r="I355" s="63"/>
      <c r="J355" s="63"/>
      <c r="K355" s="61">
        <f>SUM(H355:J355)</f>
        <v>0</v>
      </c>
      <c r="L355" s="63"/>
      <c r="M355" s="63"/>
      <c r="N355" s="63"/>
      <c r="O355" s="61">
        <f>SUM(L355:N355)</f>
        <v>0</v>
      </c>
      <c r="P355" s="63"/>
      <c r="Q355" s="63"/>
      <c r="R355" s="63"/>
      <c r="S355" s="61">
        <f>SUM(P355:R355)</f>
        <v>0</v>
      </c>
      <c r="T355" s="63"/>
      <c r="U355" s="63"/>
      <c r="V355" s="63"/>
      <c r="W355" s="61">
        <f>SUM(T355:V355)</f>
        <v>0</v>
      </c>
      <c r="X355" s="63"/>
      <c r="Y355" s="63"/>
      <c r="Z355" s="63"/>
      <c r="AA355" s="61">
        <f>SUM(X355:Z355)</f>
        <v>0</v>
      </c>
      <c r="AB355" s="63"/>
      <c r="AC355" s="63"/>
      <c r="AD355" s="63"/>
      <c r="AE355" s="61">
        <f>SUM(AB355:AD355)</f>
        <v>0</v>
      </c>
      <c r="AF355" s="64">
        <f>SUM(G355,K355,O355,S355,W355,AA355,AE355)</f>
        <v>0</v>
      </c>
    </row>
    <row r="356" spans="1:35" hidden="1" x14ac:dyDescent="0.35">
      <c r="A356" s="111"/>
      <c r="C356" s="60" t="s">
        <v>228</v>
      </c>
      <c r="D356" s="60"/>
      <c r="E356" s="60"/>
      <c r="F356" s="60"/>
      <c r="G356" s="61">
        <f>SUM(D356:F356)</f>
        <v>0</v>
      </c>
      <c r="H356" s="60"/>
      <c r="I356" s="60"/>
      <c r="J356" s="60"/>
      <c r="K356" s="61">
        <f>SUM(H356:J356)</f>
        <v>0</v>
      </c>
      <c r="L356" s="60">
        <v>1</v>
      </c>
      <c r="M356" s="60"/>
      <c r="N356" s="60"/>
      <c r="O356" s="61">
        <f>SUM(L356:N356)</f>
        <v>1</v>
      </c>
      <c r="P356" s="60"/>
      <c r="Q356" s="60"/>
      <c r="R356" s="60"/>
      <c r="S356" s="61">
        <f>SUM(P356:R356)</f>
        <v>0</v>
      </c>
      <c r="T356" s="60"/>
      <c r="U356" s="60"/>
      <c r="V356" s="60"/>
      <c r="W356" s="61">
        <f>SUM(T356:V356)</f>
        <v>0</v>
      </c>
      <c r="X356" s="60"/>
      <c r="Y356" s="60"/>
      <c r="Z356" s="60"/>
      <c r="AA356" s="61">
        <f>SUM(X356:Z356)</f>
        <v>0</v>
      </c>
      <c r="AB356" s="60">
        <v>18</v>
      </c>
      <c r="AC356" s="60"/>
      <c r="AD356" s="60"/>
      <c r="AE356" s="61">
        <f>SUM(AB356:AD356)</f>
        <v>18</v>
      </c>
      <c r="AF356" s="65">
        <f>SUM(G356,K356,O356,S356,W356,AA356,AE356)</f>
        <v>19</v>
      </c>
    </row>
    <row r="357" spans="1:35" hidden="1" x14ac:dyDescent="0.35">
      <c r="A357" s="111"/>
      <c r="C357" s="63" t="s">
        <v>235</v>
      </c>
      <c r="D357" s="63"/>
      <c r="E357" s="63"/>
      <c r="F357" s="63"/>
      <c r="G357" s="61">
        <f>SUM(D357:F357)</f>
        <v>0</v>
      </c>
      <c r="H357" s="63"/>
      <c r="I357" s="63"/>
      <c r="J357" s="63"/>
      <c r="K357" s="61">
        <f>SUM(H357:J357)</f>
        <v>0</v>
      </c>
      <c r="L357" s="63"/>
      <c r="M357" s="63"/>
      <c r="N357" s="63"/>
      <c r="O357" s="61">
        <f>SUM(L357:N357)</f>
        <v>0</v>
      </c>
      <c r="P357" s="63"/>
      <c r="Q357" s="63"/>
      <c r="R357" s="63"/>
      <c r="S357" s="61">
        <f>SUM(P357:R357)</f>
        <v>0</v>
      </c>
      <c r="T357" s="63"/>
      <c r="U357" s="63"/>
      <c r="V357" s="63"/>
      <c r="W357" s="61">
        <f>SUM(T357:V357)</f>
        <v>0</v>
      </c>
      <c r="X357" s="63"/>
      <c r="Y357" s="63"/>
      <c r="Z357" s="63"/>
      <c r="AA357" s="61">
        <f>SUM(X357:Z357)</f>
        <v>0</v>
      </c>
      <c r="AB357" s="63">
        <v>18</v>
      </c>
      <c r="AC357" s="63"/>
      <c r="AD357" s="63"/>
      <c r="AE357" s="61">
        <f>SUM(AB357:AD357)</f>
        <v>18</v>
      </c>
      <c r="AF357" s="63">
        <f>SUM(G357,K357,O357,S357,W357,AA357,AE357)</f>
        <v>18</v>
      </c>
    </row>
    <row r="358" spans="1:35" hidden="1" x14ac:dyDescent="0.35">
      <c r="A358" s="83" t="s">
        <v>355</v>
      </c>
      <c r="B358" s="84"/>
      <c r="C358" s="66"/>
      <c r="D358" s="66">
        <f t="shared" ref="D358:AF358" si="83">SUM(D354:D357)</f>
        <v>0</v>
      </c>
      <c r="E358" s="66">
        <f t="shared" si="83"/>
        <v>0</v>
      </c>
      <c r="F358" s="66">
        <f t="shared" si="83"/>
        <v>0</v>
      </c>
      <c r="G358" s="66">
        <f t="shared" si="83"/>
        <v>0</v>
      </c>
      <c r="H358" s="66">
        <f t="shared" si="83"/>
        <v>0</v>
      </c>
      <c r="I358" s="66">
        <f t="shared" si="83"/>
        <v>0</v>
      </c>
      <c r="J358" s="66">
        <f t="shared" si="83"/>
        <v>0</v>
      </c>
      <c r="K358" s="66">
        <f t="shared" si="83"/>
        <v>0</v>
      </c>
      <c r="L358" s="66">
        <f t="shared" si="83"/>
        <v>1</v>
      </c>
      <c r="M358" s="66">
        <f t="shared" si="83"/>
        <v>0</v>
      </c>
      <c r="N358" s="66">
        <f t="shared" si="83"/>
        <v>0</v>
      </c>
      <c r="O358" s="66">
        <f t="shared" si="83"/>
        <v>1</v>
      </c>
      <c r="P358" s="66">
        <f t="shared" si="83"/>
        <v>0</v>
      </c>
      <c r="Q358" s="66">
        <f t="shared" si="83"/>
        <v>0</v>
      </c>
      <c r="R358" s="66">
        <f t="shared" si="83"/>
        <v>0</v>
      </c>
      <c r="S358" s="66">
        <f t="shared" si="83"/>
        <v>0</v>
      </c>
      <c r="T358" s="66">
        <f t="shared" si="83"/>
        <v>0</v>
      </c>
      <c r="U358" s="66">
        <f t="shared" si="83"/>
        <v>0</v>
      </c>
      <c r="V358" s="66">
        <f t="shared" si="83"/>
        <v>0</v>
      </c>
      <c r="W358" s="66">
        <f t="shared" si="83"/>
        <v>0</v>
      </c>
      <c r="X358" s="66">
        <f t="shared" si="83"/>
        <v>0</v>
      </c>
      <c r="Y358" s="66">
        <f t="shared" si="83"/>
        <v>0</v>
      </c>
      <c r="Z358" s="66">
        <f t="shared" si="83"/>
        <v>0</v>
      </c>
      <c r="AA358" s="66">
        <f t="shared" si="83"/>
        <v>0</v>
      </c>
      <c r="AB358" s="66">
        <f t="shared" si="83"/>
        <v>36</v>
      </c>
      <c r="AC358" s="66">
        <f t="shared" si="83"/>
        <v>0</v>
      </c>
      <c r="AD358" s="66">
        <f t="shared" si="83"/>
        <v>0</v>
      </c>
      <c r="AE358" s="66">
        <f t="shared" si="83"/>
        <v>36</v>
      </c>
      <c r="AF358" s="66">
        <f t="shared" si="83"/>
        <v>37</v>
      </c>
    </row>
    <row r="359" spans="1:35" x14ac:dyDescent="0.35">
      <c r="A359" s="66" t="s">
        <v>353</v>
      </c>
      <c r="B359" s="67"/>
      <c r="C359" s="66"/>
      <c r="D359" s="66">
        <f t="shared" ref="D359:AF359" si="84">SUM(D358,D353)</f>
        <v>1</v>
      </c>
      <c r="E359" s="66">
        <f t="shared" si="84"/>
        <v>0</v>
      </c>
      <c r="F359" s="66">
        <f t="shared" si="84"/>
        <v>0</v>
      </c>
      <c r="G359" s="61">
        <f t="shared" si="84"/>
        <v>1</v>
      </c>
      <c r="H359" s="66">
        <f t="shared" si="84"/>
        <v>0</v>
      </c>
      <c r="I359" s="66">
        <f t="shared" si="84"/>
        <v>0</v>
      </c>
      <c r="J359" s="66">
        <f t="shared" si="84"/>
        <v>0</v>
      </c>
      <c r="K359" s="61">
        <f t="shared" si="84"/>
        <v>0</v>
      </c>
      <c r="L359" s="66">
        <f t="shared" si="84"/>
        <v>1</v>
      </c>
      <c r="M359" s="66">
        <f t="shared" si="84"/>
        <v>0</v>
      </c>
      <c r="N359" s="66">
        <f t="shared" si="84"/>
        <v>0</v>
      </c>
      <c r="O359" s="61">
        <f t="shared" si="84"/>
        <v>1</v>
      </c>
      <c r="P359" s="66">
        <f t="shared" si="84"/>
        <v>1</v>
      </c>
      <c r="Q359" s="66">
        <f t="shared" si="84"/>
        <v>0</v>
      </c>
      <c r="R359" s="66">
        <f t="shared" si="84"/>
        <v>0</v>
      </c>
      <c r="S359" s="61">
        <f t="shared" si="84"/>
        <v>1</v>
      </c>
      <c r="T359" s="66">
        <f t="shared" si="84"/>
        <v>0</v>
      </c>
      <c r="U359" s="66">
        <f t="shared" si="84"/>
        <v>0</v>
      </c>
      <c r="V359" s="66">
        <f t="shared" si="84"/>
        <v>0</v>
      </c>
      <c r="W359" s="61">
        <f t="shared" si="84"/>
        <v>0</v>
      </c>
      <c r="X359" s="66">
        <f t="shared" si="84"/>
        <v>0</v>
      </c>
      <c r="Y359" s="66">
        <f t="shared" si="84"/>
        <v>0</v>
      </c>
      <c r="Z359" s="66">
        <f t="shared" si="84"/>
        <v>0</v>
      </c>
      <c r="AA359" s="61">
        <f t="shared" si="84"/>
        <v>0</v>
      </c>
      <c r="AB359" s="66">
        <f t="shared" si="84"/>
        <v>39</v>
      </c>
      <c r="AC359" s="66">
        <f t="shared" si="84"/>
        <v>0</v>
      </c>
      <c r="AD359" s="66">
        <f t="shared" si="84"/>
        <v>0</v>
      </c>
      <c r="AE359" s="61">
        <f t="shared" si="84"/>
        <v>39</v>
      </c>
      <c r="AF359" s="68">
        <f t="shared" si="84"/>
        <v>42</v>
      </c>
    </row>
    <row r="360" spans="1:35" hidden="1" x14ac:dyDescent="0.35">
      <c r="A360" s="59" t="s">
        <v>356</v>
      </c>
      <c r="B360" s="54">
        <v>4</v>
      </c>
      <c r="C360" s="60" t="s">
        <v>225</v>
      </c>
      <c r="D360" s="60">
        <v>5</v>
      </c>
      <c r="E360" s="60"/>
      <c r="F360" s="60">
        <v>1</v>
      </c>
      <c r="G360" s="61">
        <f>SUM(D360:F360)</f>
        <v>6</v>
      </c>
      <c r="H360" s="60"/>
      <c r="I360" s="60"/>
      <c r="J360" s="60"/>
      <c r="K360" s="61">
        <f>SUM(H360:J360)</f>
        <v>0</v>
      </c>
      <c r="L360" s="60"/>
      <c r="M360" s="60">
        <v>1</v>
      </c>
      <c r="N360" s="60"/>
      <c r="O360" s="61">
        <f>SUM(L360:N360)</f>
        <v>1</v>
      </c>
      <c r="P360" s="60"/>
      <c r="Q360" s="60"/>
      <c r="R360" s="60"/>
      <c r="S360" s="61">
        <f>SUM(P360:R360)</f>
        <v>0</v>
      </c>
      <c r="T360" s="60"/>
      <c r="U360" s="60"/>
      <c r="V360" s="60"/>
      <c r="W360" s="61">
        <f>SUM(T360:V360)</f>
        <v>0</v>
      </c>
      <c r="X360" s="60"/>
      <c r="Y360" s="60"/>
      <c r="Z360" s="60"/>
      <c r="AA360" s="61">
        <f>SUM(X360:Z360)</f>
        <v>0</v>
      </c>
      <c r="AB360" s="60"/>
      <c r="AC360" s="60"/>
      <c r="AD360" s="60"/>
      <c r="AE360" s="61">
        <f>SUM(AB360:AD360)</f>
        <v>0</v>
      </c>
      <c r="AF360" s="62">
        <f t="shared" ref="AF360:AF391" si="85">SUM(G360,K360,O360,S360,W360,AA360,AE360)</f>
        <v>7</v>
      </c>
    </row>
    <row r="361" spans="1:35" hidden="1" x14ac:dyDescent="0.35">
      <c r="A361" s="111" t="s">
        <v>280</v>
      </c>
      <c r="C361" s="63" t="s">
        <v>227</v>
      </c>
      <c r="D361" s="63"/>
      <c r="E361" s="63"/>
      <c r="F361" s="63"/>
      <c r="G361" s="61">
        <f>SUM(D361:F361)</f>
        <v>0</v>
      </c>
      <c r="H361" s="63"/>
      <c r="I361" s="63"/>
      <c r="J361" s="63"/>
      <c r="K361" s="61">
        <f>SUM(H361:J361)</f>
        <v>0</v>
      </c>
      <c r="L361" s="63"/>
      <c r="M361" s="63">
        <v>1</v>
      </c>
      <c r="N361" s="63"/>
      <c r="O361" s="61">
        <f>SUM(L361:N361)</f>
        <v>1</v>
      </c>
      <c r="P361" s="63"/>
      <c r="Q361" s="63"/>
      <c r="R361" s="63"/>
      <c r="S361" s="61">
        <f>SUM(P361:R361)</f>
        <v>0</v>
      </c>
      <c r="T361" s="63"/>
      <c r="U361" s="63"/>
      <c r="V361" s="63"/>
      <c r="W361" s="61">
        <f>SUM(T361:V361)</f>
        <v>0</v>
      </c>
      <c r="X361" s="63"/>
      <c r="Y361" s="63"/>
      <c r="Z361" s="63"/>
      <c r="AA361" s="61">
        <f>SUM(X361:Z361)</f>
        <v>0</v>
      </c>
      <c r="AB361" s="63"/>
      <c r="AC361" s="63"/>
      <c r="AD361" s="63"/>
      <c r="AE361" s="61">
        <f>SUM(AB361:AD361)</f>
        <v>0</v>
      </c>
      <c r="AF361" s="64">
        <f t="shared" si="85"/>
        <v>1</v>
      </c>
    </row>
    <row r="362" spans="1:35" hidden="1" x14ac:dyDescent="0.35">
      <c r="A362" s="111"/>
      <c r="C362" s="60" t="s">
        <v>228</v>
      </c>
      <c r="D362" s="60">
        <v>5</v>
      </c>
      <c r="E362" s="60"/>
      <c r="F362" s="60"/>
      <c r="G362" s="61">
        <f>SUM(D362:F362)</f>
        <v>5</v>
      </c>
      <c r="H362" s="60"/>
      <c r="I362" s="60"/>
      <c r="J362" s="60"/>
      <c r="K362" s="61">
        <f>SUM(H362:J362)</f>
        <v>0</v>
      </c>
      <c r="L362" s="60">
        <v>1</v>
      </c>
      <c r="M362" s="60">
        <v>1</v>
      </c>
      <c r="N362" s="60"/>
      <c r="O362" s="61">
        <f>SUM(L362:N362)</f>
        <v>2</v>
      </c>
      <c r="P362" s="60"/>
      <c r="Q362" s="60"/>
      <c r="R362" s="60"/>
      <c r="S362" s="61">
        <f>SUM(P362:R362)</f>
        <v>0</v>
      </c>
      <c r="T362" s="60"/>
      <c r="U362" s="60"/>
      <c r="V362" s="60"/>
      <c r="W362" s="61">
        <f>SUM(T362:V362)</f>
        <v>0</v>
      </c>
      <c r="X362" s="60"/>
      <c r="Y362" s="60"/>
      <c r="Z362" s="60"/>
      <c r="AA362" s="61">
        <f>SUM(X362:Z362)</f>
        <v>0</v>
      </c>
      <c r="AB362" s="60"/>
      <c r="AC362" s="60"/>
      <c r="AD362" s="60"/>
      <c r="AE362" s="61">
        <f>SUM(AB362:AD362)</f>
        <v>0</v>
      </c>
      <c r="AF362" s="65">
        <f t="shared" si="85"/>
        <v>7</v>
      </c>
    </row>
    <row r="363" spans="1:35" hidden="1" x14ac:dyDescent="0.35">
      <c r="A363" s="111"/>
      <c r="C363" s="63" t="s">
        <v>235</v>
      </c>
      <c r="D363" s="63">
        <v>2</v>
      </c>
      <c r="E363" s="63">
        <v>2</v>
      </c>
      <c r="F363" s="63"/>
      <c r="G363" s="61">
        <f>SUM(D363:F363)</f>
        <v>4</v>
      </c>
      <c r="H363" s="63"/>
      <c r="I363" s="63"/>
      <c r="J363" s="63"/>
      <c r="K363" s="61">
        <f>SUM(H363:J363)</f>
        <v>0</v>
      </c>
      <c r="L363" s="63">
        <v>3</v>
      </c>
      <c r="M363" s="63">
        <v>1</v>
      </c>
      <c r="N363" s="63"/>
      <c r="O363" s="61">
        <f>SUM(L363:N363)</f>
        <v>4</v>
      </c>
      <c r="P363" s="63"/>
      <c r="Q363" s="63"/>
      <c r="R363" s="63"/>
      <c r="S363" s="61">
        <f>SUM(P363:R363)</f>
        <v>0</v>
      </c>
      <c r="T363" s="63"/>
      <c r="U363" s="63"/>
      <c r="V363" s="63"/>
      <c r="W363" s="61">
        <f>SUM(T363:V363)</f>
        <v>0</v>
      </c>
      <c r="X363" s="63"/>
      <c r="Y363" s="63"/>
      <c r="Z363" s="63"/>
      <c r="AA363" s="61">
        <f>SUM(X363:Z363)</f>
        <v>0</v>
      </c>
      <c r="AB363" s="63"/>
      <c r="AC363" s="63"/>
      <c r="AD363" s="63"/>
      <c r="AE363" s="61">
        <f>SUM(AB363:AD363)</f>
        <v>0</v>
      </c>
      <c r="AF363" s="63">
        <f t="shared" si="85"/>
        <v>8</v>
      </c>
    </row>
    <row r="364" spans="1:35" x14ac:dyDescent="0.35">
      <c r="A364" s="66" t="s">
        <v>356</v>
      </c>
      <c r="B364" s="67">
        <v>4</v>
      </c>
      <c r="C364" s="66"/>
      <c r="D364" s="66">
        <f t="shared" ref="D364:AE364" si="86">SUM(D360:D363)</f>
        <v>12</v>
      </c>
      <c r="E364" s="66">
        <f t="shared" si="86"/>
        <v>2</v>
      </c>
      <c r="F364" s="66">
        <f t="shared" si="86"/>
        <v>1</v>
      </c>
      <c r="G364" s="61">
        <f t="shared" si="86"/>
        <v>15</v>
      </c>
      <c r="H364" s="66">
        <f t="shared" si="86"/>
        <v>0</v>
      </c>
      <c r="I364" s="66">
        <f t="shared" si="86"/>
        <v>0</v>
      </c>
      <c r="J364" s="66">
        <f t="shared" si="86"/>
        <v>0</v>
      </c>
      <c r="K364" s="61">
        <f t="shared" si="86"/>
        <v>0</v>
      </c>
      <c r="L364" s="66">
        <f t="shared" si="86"/>
        <v>4</v>
      </c>
      <c r="M364" s="66">
        <f t="shared" si="86"/>
        <v>4</v>
      </c>
      <c r="N364" s="66">
        <f t="shared" si="86"/>
        <v>0</v>
      </c>
      <c r="O364" s="61">
        <f t="shared" si="86"/>
        <v>8</v>
      </c>
      <c r="P364" s="66">
        <f t="shared" si="86"/>
        <v>0</v>
      </c>
      <c r="Q364" s="66">
        <f t="shared" si="86"/>
        <v>0</v>
      </c>
      <c r="R364" s="66">
        <f t="shared" si="86"/>
        <v>0</v>
      </c>
      <c r="S364" s="61">
        <f t="shared" si="86"/>
        <v>0</v>
      </c>
      <c r="T364" s="66">
        <f t="shared" si="86"/>
        <v>0</v>
      </c>
      <c r="U364" s="66">
        <f t="shared" si="86"/>
        <v>0</v>
      </c>
      <c r="V364" s="66">
        <f t="shared" si="86"/>
        <v>0</v>
      </c>
      <c r="W364" s="61">
        <f t="shared" si="86"/>
        <v>0</v>
      </c>
      <c r="X364" s="66">
        <f t="shared" si="86"/>
        <v>0</v>
      </c>
      <c r="Y364" s="66">
        <f t="shared" si="86"/>
        <v>0</v>
      </c>
      <c r="Z364" s="66">
        <f t="shared" si="86"/>
        <v>0</v>
      </c>
      <c r="AA364" s="61">
        <f t="shared" si="86"/>
        <v>0</v>
      </c>
      <c r="AB364" s="66">
        <f t="shared" si="86"/>
        <v>0</v>
      </c>
      <c r="AC364" s="66">
        <f t="shared" si="86"/>
        <v>0</v>
      </c>
      <c r="AD364" s="66">
        <f t="shared" si="86"/>
        <v>0</v>
      </c>
      <c r="AE364" s="61">
        <f t="shared" si="86"/>
        <v>0</v>
      </c>
      <c r="AF364" s="68">
        <f t="shared" si="85"/>
        <v>23</v>
      </c>
    </row>
    <row r="365" spans="1:35" hidden="1" x14ac:dyDescent="0.35">
      <c r="A365" s="59" t="s">
        <v>357</v>
      </c>
      <c r="B365" s="54" t="s">
        <v>358</v>
      </c>
      <c r="C365" s="60" t="s">
        <v>225</v>
      </c>
      <c r="D365" s="60"/>
      <c r="E365" s="60"/>
      <c r="F365" s="60"/>
      <c r="G365" s="61">
        <f>SUM(D365:F365)</f>
        <v>0</v>
      </c>
      <c r="H365" s="60"/>
      <c r="I365" s="60"/>
      <c r="J365" s="60"/>
      <c r="K365" s="61">
        <f>SUM(H365:J365)</f>
        <v>0</v>
      </c>
      <c r="L365" s="60"/>
      <c r="M365" s="60"/>
      <c r="N365" s="60"/>
      <c r="O365" s="61">
        <f>SUM(L365:N365)</f>
        <v>0</v>
      </c>
      <c r="P365" s="60"/>
      <c r="Q365" s="60"/>
      <c r="R365" s="60"/>
      <c r="S365" s="61">
        <f>SUM(P365:R365)</f>
        <v>0</v>
      </c>
      <c r="T365" s="60"/>
      <c r="U365" s="60"/>
      <c r="V365" s="60"/>
      <c r="W365" s="61">
        <f>SUM(T365:V365)</f>
        <v>0</v>
      </c>
      <c r="X365" s="60"/>
      <c r="Y365" s="60"/>
      <c r="Z365" s="60"/>
      <c r="AA365" s="61">
        <f>SUM(X365:Z365)</f>
        <v>0</v>
      </c>
      <c r="AB365" s="60"/>
      <c r="AC365" s="60"/>
      <c r="AD365" s="60"/>
      <c r="AE365" s="61">
        <f>SUM(AB365:AD365)</f>
        <v>0</v>
      </c>
      <c r="AF365" s="62">
        <f t="shared" si="85"/>
        <v>0</v>
      </c>
      <c r="AI365" s="66"/>
    </row>
    <row r="366" spans="1:35" hidden="1" x14ac:dyDescent="0.35">
      <c r="A366" s="111" t="s">
        <v>267</v>
      </c>
      <c r="C366" s="63" t="s">
        <v>227</v>
      </c>
      <c r="D366" s="63"/>
      <c r="E366" s="63"/>
      <c r="F366" s="63"/>
      <c r="G366" s="61">
        <f>SUM(D366:F366)</f>
        <v>0</v>
      </c>
      <c r="H366" s="63"/>
      <c r="I366" s="63"/>
      <c r="J366" s="63"/>
      <c r="K366" s="61">
        <f>SUM(H366:J366)</f>
        <v>0</v>
      </c>
      <c r="L366" s="63"/>
      <c r="M366" s="63"/>
      <c r="N366" s="63"/>
      <c r="O366" s="61">
        <f>SUM(L366:N366)</f>
        <v>0</v>
      </c>
      <c r="P366" s="63"/>
      <c r="Q366" s="63"/>
      <c r="R366" s="63"/>
      <c r="S366" s="61">
        <f>SUM(P366:R366)</f>
        <v>0</v>
      </c>
      <c r="T366" s="63"/>
      <c r="U366" s="63"/>
      <c r="V366" s="63"/>
      <c r="W366" s="61">
        <f>SUM(T366:V366)</f>
        <v>0</v>
      </c>
      <c r="X366" s="63"/>
      <c r="Y366" s="63"/>
      <c r="Z366" s="63"/>
      <c r="AA366" s="61">
        <f>SUM(X366:Z366)</f>
        <v>0</v>
      </c>
      <c r="AB366" s="63"/>
      <c r="AC366" s="63"/>
      <c r="AD366" s="63"/>
      <c r="AE366" s="61">
        <f>SUM(AB366:AD366)</f>
        <v>0</v>
      </c>
      <c r="AF366" s="64">
        <f t="shared" si="85"/>
        <v>0</v>
      </c>
    </row>
    <row r="367" spans="1:35" hidden="1" x14ac:dyDescent="0.35">
      <c r="A367" s="111"/>
      <c r="C367" s="60" t="s">
        <v>228</v>
      </c>
      <c r="D367" s="60"/>
      <c r="E367" s="60"/>
      <c r="F367" s="60"/>
      <c r="G367" s="61">
        <f>SUM(D367:F367)</f>
        <v>0</v>
      </c>
      <c r="H367" s="60"/>
      <c r="I367" s="60"/>
      <c r="J367" s="60"/>
      <c r="K367" s="61">
        <f>SUM(H367:J367)</f>
        <v>0</v>
      </c>
      <c r="L367" s="60"/>
      <c r="M367" s="60"/>
      <c r="N367" s="60"/>
      <c r="O367" s="61">
        <f>SUM(L367:N367)</f>
        <v>0</v>
      </c>
      <c r="P367" s="60"/>
      <c r="Q367" s="60"/>
      <c r="R367" s="60"/>
      <c r="S367" s="61">
        <f>SUM(P367:R367)</f>
        <v>0</v>
      </c>
      <c r="T367" s="60"/>
      <c r="U367" s="60"/>
      <c r="V367" s="60"/>
      <c r="W367" s="61">
        <f>SUM(T367:V367)</f>
        <v>0</v>
      </c>
      <c r="X367" s="60"/>
      <c r="Y367" s="60"/>
      <c r="Z367" s="60"/>
      <c r="AA367" s="61">
        <f>SUM(X367:Z367)</f>
        <v>0</v>
      </c>
      <c r="AB367" s="60"/>
      <c r="AC367" s="60"/>
      <c r="AD367" s="60"/>
      <c r="AE367" s="61">
        <f>SUM(AB367:AD367)</f>
        <v>0</v>
      </c>
      <c r="AF367" s="65">
        <f t="shared" si="85"/>
        <v>0</v>
      </c>
    </row>
    <row r="368" spans="1:35" hidden="1" x14ac:dyDescent="0.35">
      <c r="A368" s="111"/>
      <c r="C368" s="63" t="s">
        <v>235</v>
      </c>
      <c r="D368" s="63"/>
      <c r="E368" s="63"/>
      <c r="F368" s="63"/>
      <c r="G368" s="61">
        <f>SUM(D368:F368)</f>
        <v>0</v>
      </c>
      <c r="H368" s="63"/>
      <c r="I368" s="63"/>
      <c r="J368" s="63"/>
      <c r="K368" s="61">
        <f>SUM(H368:J368)</f>
        <v>0</v>
      </c>
      <c r="L368" s="63"/>
      <c r="M368" s="63"/>
      <c r="N368" s="63"/>
      <c r="O368" s="61">
        <f>SUM(L368:N368)</f>
        <v>0</v>
      </c>
      <c r="P368" s="63"/>
      <c r="Q368" s="63"/>
      <c r="R368" s="63"/>
      <c r="S368" s="61">
        <f>SUM(P368:R368)</f>
        <v>0</v>
      </c>
      <c r="T368" s="63"/>
      <c r="U368" s="63"/>
      <c r="V368" s="63"/>
      <c r="W368" s="61">
        <f>SUM(T368:V368)</f>
        <v>0</v>
      </c>
      <c r="X368" s="63"/>
      <c r="Y368" s="63"/>
      <c r="Z368" s="63"/>
      <c r="AA368" s="61">
        <f>SUM(X368:Z368)</f>
        <v>0</v>
      </c>
      <c r="AB368" s="63"/>
      <c r="AC368" s="63"/>
      <c r="AD368" s="63"/>
      <c r="AE368" s="61">
        <f>SUM(AB368:AD368)</f>
        <v>0</v>
      </c>
      <c r="AF368" s="63">
        <f t="shared" si="85"/>
        <v>0</v>
      </c>
    </row>
    <row r="369" spans="1:32" x14ac:dyDescent="0.35">
      <c r="A369" s="66" t="s">
        <v>357</v>
      </c>
      <c r="B369" s="67" t="s">
        <v>358</v>
      </c>
      <c r="C369" s="66"/>
      <c r="D369" s="66">
        <f t="shared" ref="D369:AE369" si="87">SUM(D365:D368)</f>
        <v>0</v>
      </c>
      <c r="E369" s="66">
        <f t="shared" si="87"/>
        <v>0</v>
      </c>
      <c r="F369" s="66">
        <f t="shared" si="87"/>
        <v>0</v>
      </c>
      <c r="G369" s="61">
        <f t="shared" si="87"/>
        <v>0</v>
      </c>
      <c r="H369" s="66">
        <f t="shared" si="87"/>
        <v>0</v>
      </c>
      <c r="I369" s="66">
        <f t="shared" si="87"/>
        <v>0</v>
      </c>
      <c r="J369" s="66">
        <f t="shared" si="87"/>
        <v>0</v>
      </c>
      <c r="K369" s="61">
        <f t="shared" si="87"/>
        <v>0</v>
      </c>
      <c r="L369" s="66">
        <f t="shared" si="87"/>
        <v>0</v>
      </c>
      <c r="M369" s="66">
        <f t="shared" si="87"/>
        <v>0</v>
      </c>
      <c r="N369" s="66">
        <f t="shared" si="87"/>
        <v>0</v>
      </c>
      <c r="O369" s="61">
        <f t="shared" si="87"/>
        <v>0</v>
      </c>
      <c r="P369" s="66">
        <f t="shared" si="87"/>
        <v>0</v>
      </c>
      <c r="Q369" s="66">
        <f t="shared" si="87"/>
        <v>0</v>
      </c>
      <c r="R369" s="66">
        <f t="shared" si="87"/>
        <v>0</v>
      </c>
      <c r="S369" s="61">
        <f t="shared" si="87"/>
        <v>0</v>
      </c>
      <c r="T369" s="66">
        <f t="shared" si="87"/>
        <v>0</v>
      </c>
      <c r="U369" s="66">
        <f t="shared" si="87"/>
        <v>0</v>
      </c>
      <c r="V369" s="66">
        <f t="shared" si="87"/>
        <v>0</v>
      </c>
      <c r="W369" s="61">
        <f t="shared" si="87"/>
        <v>0</v>
      </c>
      <c r="X369" s="66">
        <f t="shared" si="87"/>
        <v>0</v>
      </c>
      <c r="Y369" s="66">
        <f t="shared" si="87"/>
        <v>0</v>
      </c>
      <c r="Z369" s="66">
        <f t="shared" si="87"/>
        <v>0</v>
      </c>
      <c r="AA369" s="61">
        <f t="shared" si="87"/>
        <v>0</v>
      </c>
      <c r="AB369" s="66">
        <f t="shared" si="87"/>
        <v>0</v>
      </c>
      <c r="AC369" s="66">
        <f t="shared" si="87"/>
        <v>0</v>
      </c>
      <c r="AD369" s="66">
        <f t="shared" si="87"/>
        <v>0</v>
      </c>
      <c r="AE369" s="61">
        <f t="shared" si="87"/>
        <v>0</v>
      </c>
      <c r="AF369" s="68">
        <f t="shared" si="85"/>
        <v>0</v>
      </c>
    </row>
    <row r="370" spans="1:32" hidden="1" x14ac:dyDescent="0.35">
      <c r="A370" s="59" t="s">
        <v>359</v>
      </c>
      <c r="B370" s="54" t="s">
        <v>360</v>
      </c>
      <c r="C370" s="60" t="s">
        <v>225</v>
      </c>
      <c r="D370" s="60">
        <v>3</v>
      </c>
      <c r="E370" s="60"/>
      <c r="F370" s="60"/>
      <c r="G370" s="61">
        <f>SUM(D370:F370)</f>
        <v>3</v>
      </c>
      <c r="H370" s="60"/>
      <c r="I370" s="60"/>
      <c r="J370" s="60"/>
      <c r="K370" s="61">
        <f>SUM(H370:J370)</f>
        <v>0</v>
      </c>
      <c r="L370" s="60"/>
      <c r="M370" s="60"/>
      <c r="N370" s="60"/>
      <c r="O370" s="61">
        <f>SUM(L370:N370)</f>
        <v>0</v>
      </c>
      <c r="P370" s="60"/>
      <c r="Q370" s="60"/>
      <c r="R370" s="60"/>
      <c r="S370" s="61">
        <f>SUM(P370:R370)</f>
        <v>0</v>
      </c>
      <c r="T370" s="60"/>
      <c r="U370" s="60"/>
      <c r="V370" s="60"/>
      <c r="W370" s="61">
        <f>SUM(T370:V370)</f>
        <v>0</v>
      </c>
      <c r="X370" s="60"/>
      <c r="Y370" s="60"/>
      <c r="Z370" s="60"/>
      <c r="AA370" s="61">
        <f>SUM(X370:Z370)</f>
        <v>0</v>
      </c>
      <c r="AB370" s="60"/>
      <c r="AC370" s="60"/>
      <c r="AD370" s="60"/>
      <c r="AE370" s="61">
        <f>SUM(AB370:AD370)</f>
        <v>0</v>
      </c>
      <c r="AF370" s="62">
        <f t="shared" si="85"/>
        <v>3</v>
      </c>
    </row>
    <row r="371" spans="1:32" hidden="1" x14ac:dyDescent="0.35">
      <c r="A371" s="111" t="s">
        <v>245</v>
      </c>
      <c r="C371" s="63" t="s">
        <v>227</v>
      </c>
      <c r="D371" s="63">
        <v>2</v>
      </c>
      <c r="E371" s="63"/>
      <c r="F371" s="63"/>
      <c r="G371" s="61">
        <f>SUM(D371:F371)</f>
        <v>2</v>
      </c>
      <c r="H371" s="63"/>
      <c r="I371" s="63"/>
      <c r="J371" s="63"/>
      <c r="K371" s="61">
        <f>SUM(H371:J371)</f>
        <v>0</v>
      </c>
      <c r="L371" s="63">
        <v>1</v>
      </c>
      <c r="M371" s="63"/>
      <c r="N371" s="63"/>
      <c r="O371" s="61">
        <f>SUM(L371:N371)</f>
        <v>1</v>
      </c>
      <c r="P371" s="63"/>
      <c r="Q371" s="63"/>
      <c r="R371" s="63"/>
      <c r="S371" s="61">
        <f>SUM(P371:R371)</f>
        <v>0</v>
      </c>
      <c r="T371" s="63"/>
      <c r="U371" s="63"/>
      <c r="V371" s="63"/>
      <c r="W371" s="61">
        <f>SUM(T371:V371)</f>
        <v>0</v>
      </c>
      <c r="X371" s="63"/>
      <c r="Y371" s="63"/>
      <c r="Z371" s="63"/>
      <c r="AA371" s="61">
        <f>SUM(X371:Z371)</f>
        <v>0</v>
      </c>
      <c r="AB371" s="63"/>
      <c r="AC371" s="63"/>
      <c r="AD371" s="63"/>
      <c r="AE371" s="61">
        <f>SUM(AB371:AD371)</f>
        <v>0</v>
      </c>
      <c r="AF371" s="64">
        <f t="shared" si="85"/>
        <v>3</v>
      </c>
    </row>
    <row r="372" spans="1:32" hidden="1" x14ac:dyDescent="0.35">
      <c r="A372" s="111"/>
      <c r="C372" s="60" t="s">
        <v>228</v>
      </c>
      <c r="D372" s="60">
        <v>2</v>
      </c>
      <c r="E372" s="60"/>
      <c r="F372" s="60"/>
      <c r="G372" s="61">
        <f>SUM(D372:F372)</f>
        <v>2</v>
      </c>
      <c r="H372" s="60"/>
      <c r="I372" s="60"/>
      <c r="J372" s="60"/>
      <c r="K372" s="61">
        <f>SUM(H372:J372)</f>
        <v>0</v>
      </c>
      <c r="L372" s="60">
        <v>1</v>
      </c>
      <c r="M372" s="60"/>
      <c r="N372" s="60"/>
      <c r="O372" s="61">
        <f>SUM(L372:N372)</f>
        <v>1</v>
      </c>
      <c r="P372" s="60"/>
      <c r="Q372" s="60"/>
      <c r="R372" s="60"/>
      <c r="S372" s="61">
        <f>SUM(P372:R372)</f>
        <v>0</v>
      </c>
      <c r="T372" s="60"/>
      <c r="U372" s="60"/>
      <c r="V372" s="60"/>
      <c r="W372" s="61">
        <f>SUM(T372:V372)</f>
        <v>0</v>
      </c>
      <c r="X372" s="60"/>
      <c r="Y372" s="60"/>
      <c r="Z372" s="60"/>
      <c r="AA372" s="61">
        <f>SUM(X372:Z372)</f>
        <v>0</v>
      </c>
      <c r="AB372" s="60"/>
      <c r="AC372" s="60"/>
      <c r="AD372" s="60"/>
      <c r="AE372" s="61">
        <f>SUM(AB372:AD372)</f>
        <v>0</v>
      </c>
      <c r="AF372" s="65">
        <f t="shared" si="85"/>
        <v>3</v>
      </c>
    </row>
    <row r="373" spans="1:32" hidden="1" x14ac:dyDescent="0.35">
      <c r="A373" s="111"/>
      <c r="C373" s="63" t="s">
        <v>235</v>
      </c>
      <c r="D373" s="63">
        <v>3</v>
      </c>
      <c r="E373" s="63"/>
      <c r="F373" s="63"/>
      <c r="G373" s="61">
        <f>SUM(D373:F373)</f>
        <v>3</v>
      </c>
      <c r="H373" s="63"/>
      <c r="I373" s="63"/>
      <c r="J373" s="63"/>
      <c r="K373" s="61">
        <f>SUM(H373:J373)</f>
        <v>0</v>
      </c>
      <c r="L373" s="63">
        <v>1</v>
      </c>
      <c r="M373" s="63"/>
      <c r="N373" s="63"/>
      <c r="O373" s="61">
        <f>SUM(L373:N373)</f>
        <v>1</v>
      </c>
      <c r="P373" s="63"/>
      <c r="Q373" s="63"/>
      <c r="R373" s="63"/>
      <c r="S373" s="61">
        <f>SUM(P373:R373)</f>
        <v>0</v>
      </c>
      <c r="T373" s="63"/>
      <c r="U373" s="63"/>
      <c r="V373" s="63"/>
      <c r="W373" s="61">
        <f>SUM(T373:V373)</f>
        <v>0</v>
      </c>
      <c r="X373" s="63"/>
      <c r="Y373" s="63"/>
      <c r="Z373" s="63"/>
      <c r="AA373" s="61">
        <f>SUM(X373:Z373)</f>
        <v>0</v>
      </c>
      <c r="AB373" s="63"/>
      <c r="AC373" s="63"/>
      <c r="AD373" s="63"/>
      <c r="AE373" s="61">
        <f>SUM(AB373:AD373)</f>
        <v>0</v>
      </c>
      <c r="AF373" s="63">
        <f t="shared" si="85"/>
        <v>4</v>
      </c>
    </row>
    <row r="374" spans="1:32" x14ac:dyDescent="0.35">
      <c r="A374" s="66" t="s">
        <v>359</v>
      </c>
      <c r="B374" s="67" t="s">
        <v>360</v>
      </c>
      <c r="C374" s="66"/>
      <c r="D374" s="66">
        <f t="shared" ref="D374:AE374" si="88">SUM(D370:D373)</f>
        <v>10</v>
      </c>
      <c r="E374" s="66">
        <f t="shared" si="88"/>
        <v>0</v>
      </c>
      <c r="F374" s="66">
        <f t="shared" si="88"/>
        <v>0</v>
      </c>
      <c r="G374" s="61">
        <f t="shared" si="88"/>
        <v>10</v>
      </c>
      <c r="H374" s="66">
        <f t="shared" si="88"/>
        <v>0</v>
      </c>
      <c r="I374" s="66">
        <f t="shared" si="88"/>
        <v>0</v>
      </c>
      <c r="J374" s="66">
        <f t="shared" si="88"/>
        <v>0</v>
      </c>
      <c r="K374" s="61">
        <f t="shared" si="88"/>
        <v>0</v>
      </c>
      <c r="L374" s="66">
        <f t="shared" si="88"/>
        <v>3</v>
      </c>
      <c r="M374" s="66">
        <f t="shared" si="88"/>
        <v>0</v>
      </c>
      <c r="N374" s="66">
        <f t="shared" si="88"/>
        <v>0</v>
      </c>
      <c r="O374" s="61">
        <f t="shared" si="88"/>
        <v>3</v>
      </c>
      <c r="P374" s="66">
        <f t="shared" si="88"/>
        <v>0</v>
      </c>
      <c r="Q374" s="66">
        <f t="shared" si="88"/>
        <v>0</v>
      </c>
      <c r="R374" s="66">
        <f t="shared" si="88"/>
        <v>0</v>
      </c>
      <c r="S374" s="61">
        <f t="shared" si="88"/>
        <v>0</v>
      </c>
      <c r="T374" s="66">
        <f t="shared" si="88"/>
        <v>0</v>
      </c>
      <c r="U374" s="66">
        <f t="shared" si="88"/>
        <v>0</v>
      </c>
      <c r="V374" s="66">
        <f t="shared" si="88"/>
        <v>0</v>
      </c>
      <c r="W374" s="61">
        <f t="shared" si="88"/>
        <v>0</v>
      </c>
      <c r="X374" s="66">
        <f t="shared" si="88"/>
        <v>0</v>
      </c>
      <c r="Y374" s="66">
        <f t="shared" si="88"/>
        <v>0</v>
      </c>
      <c r="Z374" s="66">
        <f t="shared" si="88"/>
        <v>0</v>
      </c>
      <c r="AA374" s="61">
        <f t="shared" si="88"/>
        <v>0</v>
      </c>
      <c r="AB374" s="66">
        <f t="shared" si="88"/>
        <v>0</v>
      </c>
      <c r="AC374" s="66">
        <f t="shared" si="88"/>
        <v>0</v>
      </c>
      <c r="AD374" s="66">
        <f t="shared" si="88"/>
        <v>0</v>
      </c>
      <c r="AE374" s="61">
        <f t="shared" si="88"/>
        <v>0</v>
      </c>
      <c r="AF374" s="68">
        <f t="shared" si="85"/>
        <v>13</v>
      </c>
    </row>
    <row r="375" spans="1:32" hidden="1" x14ac:dyDescent="0.35">
      <c r="A375" s="59" t="s">
        <v>361</v>
      </c>
      <c r="B375" s="54">
        <v>30</v>
      </c>
      <c r="C375" s="60" t="s">
        <v>225</v>
      </c>
      <c r="D375" s="60"/>
      <c r="E375" s="60"/>
      <c r="F375" s="60"/>
      <c r="G375" s="61">
        <f>SUM(D375:F375)</f>
        <v>0</v>
      </c>
      <c r="H375" s="60"/>
      <c r="I375" s="60"/>
      <c r="J375" s="60"/>
      <c r="K375" s="61">
        <f>SUM(H375:J375)</f>
        <v>0</v>
      </c>
      <c r="L375" s="60"/>
      <c r="M375" s="60"/>
      <c r="N375" s="60"/>
      <c r="O375" s="61">
        <f>SUM(L375:N375)</f>
        <v>0</v>
      </c>
      <c r="P375" s="60"/>
      <c r="Q375" s="60"/>
      <c r="R375" s="60"/>
      <c r="S375" s="61">
        <f>SUM(P375:R375)</f>
        <v>0</v>
      </c>
      <c r="T375" s="60"/>
      <c r="U375" s="60"/>
      <c r="V375" s="60"/>
      <c r="W375" s="61">
        <f>SUM(T375:V375)</f>
        <v>0</v>
      </c>
      <c r="X375" s="60"/>
      <c r="Y375" s="60"/>
      <c r="Z375" s="60"/>
      <c r="AA375" s="61">
        <f>SUM(X375:Z375)</f>
        <v>0</v>
      </c>
      <c r="AB375" s="60"/>
      <c r="AC375" s="60"/>
      <c r="AD375" s="60"/>
      <c r="AE375" s="61">
        <f>SUM(AB375:AD375)</f>
        <v>0</v>
      </c>
      <c r="AF375" s="62">
        <f t="shared" si="85"/>
        <v>0</v>
      </c>
    </row>
    <row r="376" spans="1:32" hidden="1" x14ac:dyDescent="0.35">
      <c r="A376" s="111" t="s">
        <v>263</v>
      </c>
      <c r="C376" s="63" t="s">
        <v>227</v>
      </c>
      <c r="D376" s="63"/>
      <c r="E376" s="63"/>
      <c r="F376" s="63"/>
      <c r="G376" s="61">
        <f>SUM(D376:F376)</f>
        <v>0</v>
      </c>
      <c r="H376" s="63"/>
      <c r="I376" s="63"/>
      <c r="J376" s="63"/>
      <c r="K376" s="61">
        <f>SUM(H376:J376)</f>
        <v>0</v>
      </c>
      <c r="L376" s="63"/>
      <c r="M376" s="63"/>
      <c r="N376" s="63"/>
      <c r="O376" s="61">
        <f>SUM(L376:N376)</f>
        <v>0</v>
      </c>
      <c r="P376" s="63"/>
      <c r="Q376" s="63"/>
      <c r="R376" s="63"/>
      <c r="S376" s="61">
        <f>SUM(P376:R376)</f>
        <v>0</v>
      </c>
      <c r="T376" s="63"/>
      <c r="U376" s="63"/>
      <c r="V376" s="63"/>
      <c r="W376" s="61">
        <f>SUM(T376:V376)</f>
        <v>0</v>
      </c>
      <c r="X376" s="63"/>
      <c r="Y376" s="63"/>
      <c r="Z376" s="63"/>
      <c r="AA376" s="61">
        <f>SUM(X376:Z376)</f>
        <v>0</v>
      </c>
      <c r="AB376" s="63"/>
      <c r="AC376" s="63"/>
      <c r="AD376" s="63"/>
      <c r="AE376" s="61">
        <f>SUM(AB376:AD376)</f>
        <v>0</v>
      </c>
      <c r="AF376" s="64">
        <f t="shared" si="85"/>
        <v>0</v>
      </c>
    </row>
    <row r="377" spans="1:32" hidden="1" x14ac:dyDescent="0.35">
      <c r="A377" s="111"/>
      <c r="C377" s="60" t="s">
        <v>228</v>
      </c>
      <c r="D377" s="60"/>
      <c r="E377" s="60"/>
      <c r="F377" s="60"/>
      <c r="G377" s="61">
        <f>SUM(D377:F377)</f>
        <v>0</v>
      </c>
      <c r="H377" s="60"/>
      <c r="I377" s="60"/>
      <c r="J377" s="60"/>
      <c r="K377" s="61">
        <f>SUM(H377:J377)</f>
        <v>0</v>
      </c>
      <c r="L377" s="60"/>
      <c r="M377" s="60"/>
      <c r="N377" s="60"/>
      <c r="O377" s="61">
        <f>SUM(L377:N377)</f>
        <v>0</v>
      </c>
      <c r="P377" s="60"/>
      <c r="Q377" s="60"/>
      <c r="R377" s="60"/>
      <c r="S377" s="61">
        <f>SUM(P377:R377)</f>
        <v>0</v>
      </c>
      <c r="T377" s="60"/>
      <c r="U377" s="60"/>
      <c r="V377" s="60"/>
      <c r="W377" s="61">
        <f>SUM(T377:V377)</f>
        <v>0</v>
      </c>
      <c r="X377" s="60"/>
      <c r="Y377" s="60"/>
      <c r="Z377" s="60"/>
      <c r="AA377" s="61">
        <f>SUM(X377:Z377)</f>
        <v>0</v>
      </c>
      <c r="AB377" s="60"/>
      <c r="AC377" s="60"/>
      <c r="AD377" s="60"/>
      <c r="AE377" s="61">
        <f>SUM(AB377:AD377)</f>
        <v>0</v>
      </c>
      <c r="AF377" s="65">
        <f t="shared" si="85"/>
        <v>0</v>
      </c>
    </row>
    <row r="378" spans="1:32" hidden="1" x14ac:dyDescent="0.35">
      <c r="A378" s="111"/>
      <c r="C378" s="63" t="s">
        <v>235</v>
      </c>
      <c r="D378" s="63"/>
      <c r="E378" s="63"/>
      <c r="F378" s="63"/>
      <c r="G378" s="61">
        <f>SUM(D378:F378)</f>
        <v>0</v>
      </c>
      <c r="H378" s="63"/>
      <c r="I378" s="63"/>
      <c r="J378" s="63"/>
      <c r="K378" s="61">
        <f>SUM(H378:J378)</f>
        <v>0</v>
      </c>
      <c r="L378" s="63"/>
      <c r="M378" s="63"/>
      <c r="N378" s="63"/>
      <c r="O378" s="61">
        <f>SUM(L378:N378)</f>
        <v>0</v>
      </c>
      <c r="P378" s="63"/>
      <c r="Q378" s="63"/>
      <c r="R378" s="63"/>
      <c r="S378" s="61">
        <f>SUM(P378:R378)</f>
        <v>0</v>
      </c>
      <c r="T378" s="63"/>
      <c r="U378" s="63"/>
      <c r="V378" s="63"/>
      <c r="W378" s="61">
        <f>SUM(T378:V378)</f>
        <v>0</v>
      </c>
      <c r="X378" s="63"/>
      <c r="Y378" s="63"/>
      <c r="Z378" s="63"/>
      <c r="AA378" s="61">
        <f>SUM(X378:Z378)</f>
        <v>0</v>
      </c>
      <c r="AB378" s="63"/>
      <c r="AC378" s="63"/>
      <c r="AD378" s="63"/>
      <c r="AE378" s="61">
        <f>SUM(AB378:AD378)</f>
        <v>0</v>
      </c>
      <c r="AF378" s="63">
        <f t="shared" si="85"/>
        <v>0</v>
      </c>
    </row>
    <row r="379" spans="1:32" x14ac:dyDescent="0.35">
      <c r="A379" s="66" t="s">
        <v>361</v>
      </c>
      <c r="B379" s="67">
        <v>30</v>
      </c>
      <c r="C379" s="66"/>
      <c r="D379" s="66">
        <f t="shared" ref="D379:AE379" si="89">SUM(D375:D378)</f>
        <v>0</v>
      </c>
      <c r="E379" s="66">
        <f t="shared" si="89"/>
        <v>0</v>
      </c>
      <c r="F379" s="66">
        <f t="shared" si="89"/>
        <v>0</v>
      </c>
      <c r="G379" s="61">
        <f t="shared" si="89"/>
        <v>0</v>
      </c>
      <c r="H379" s="66">
        <f t="shared" si="89"/>
        <v>0</v>
      </c>
      <c r="I379" s="66">
        <f t="shared" si="89"/>
        <v>0</v>
      </c>
      <c r="J379" s="66">
        <f t="shared" si="89"/>
        <v>0</v>
      </c>
      <c r="K379" s="61">
        <f t="shared" si="89"/>
        <v>0</v>
      </c>
      <c r="L379" s="66">
        <f t="shared" si="89"/>
        <v>0</v>
      </c>
      <c r="M379" s="66">
        <f t="shared" si="89"/>
        <v>0</v>
      </c>
      <c r="N379" s="66">
        <f t="shared" si="89"/>
        <v>0</v>
      </c>
      <c r="O379" s="61">
        <f t="shared" si="89"/>
        <v>0</v>
      </c>
      <c r="P379" s="66">
        <f t="shared" si="89"/>
        <v>0</v>
      </c>
      <c r="Q379" s="66">
        <f t="shared" si="89"/>
        <v>0</v>
      </c>
      <c r="R379" s="66">
        <f t="shared" si="89"/>
        <v>0</v>
      </c>
      <c r="S379" s="61">
        <f t="shared" si="89"/>
        <v>0</v>
      </c>
      <c r="T379" s="66">
        <f t="shared" si="89"/>
        <v>0</v>
      </c>
      <c r="U379" s="66">
        <f t="shared" si="89"/>
        <v>0</v>
      </c>
      <c r="V379" s="66">
        <f t="shared" si="89"/>
        <v>0</v>
      </c>
      <c r="W379" s="61">
        <f t="shared" si="89"/>
        <v>0</v>
      </c>
      <c r="X379" s="66">
        <f t="shared" si="89"/>
        <v>0</v>
      </c>
      <c r="Y379" s="66">
        <f t="shared" si="89"/>
        <v>0</v>
      </c>
      <c r="Z379" s="66">
        <f t="shared" si="89"/>
        <v>0</v>
      </c>
      <c r="AA379" s="61">
        <f t="shared" si="89"/>
        <v>0</v>
      </c>
      <c r="AB379" s="66">
        <f t="shared" si="89"/>
        <v>0</v>
      </c>
      <c r="AC379" s="66">
        <f t="shared" si="89"/>
        <v>0</v>
      </c>
      <c r="AD379" s="66">
        <f t="shared" si="89"/>
        <v>0</v>
      </c>
      <c r="AE379" s="61">
        <f t="shared" si="89"/>
        <v>0</v>
      </c>
      <c r="AF379" s="68">
        <f t="shared" si="85"/>
        <v>0</v>
      </c>
    </row>
    <row r="380" spans="1:32" hidden="1" x14ac:dyDescent="0.35">
      <c r="A380" s="59" t="s">
        <v>362</v>
      </c>
      <c r="B380" s="54" t="s">
        <v>303</v>
      </c>
      <c r="C380" s="60" t="s">
        <v>225</v>
      </c>
      <c r="D380" s="60">
        <v>10</v>
      </c>
      <c r="E380" s="60">
        <v>2</v>
      </c>
      <c r="F380" s="60"/>
      <c r="G380" s="61">
        <f>SUM(D380:F380)</f>
        <v>12</v>
      </c>
      <c r="H380" s="60"/>
      <c r="I380" s="60"/>
      <c r="J380" s="60"/>
      <c r="K380" s="61">
        <f>SUM(H380:J380)</f>
        <v>0</v>
      </c>
      <c r="L380" s="60">
        <v>4</v>
      </c>
      <c r="M380" s="60">
        <v>1</v>
      </c>
      <c r="N380" s="60"/>
      <c r="O380" s="61">
        <f>SUM(L380:N380)</f>
        <v>5</v>
      </c>
      <c r="P380" s="60"/>
      <c r="Q380" s="60"/>
      <c r="R380" s="60"/>
      <c r="S380" s="61">
        <f>SUM(P380:R380)</f>
        <v>0</v>
      </c>
      <c r="T380" s="60"/>
      <c r="U380" s="60"/>
      <c r="V380" s="60"/>
      <c r="W380" s="61">
        <f>SUM(T380:V380)</f>
        <v>0</v>
      </c>
      <c r="X380" s="60">
        <v>4</v>
      </c>
      <c r="Y380" s="60"/>
      <c r="Z380" s="60"/>
      <c r="AA380" s="61">
        <f>SUM(X380:Z380)</f>
        <v>4</v>
      </c>
      <c r="AB380" s="60">
        <v>4</v>
      </c>
      <c r="AC380" s="60"/>
      <c r="AD380" s="60"/>
      <c r="AE380" s="61">
        <f>SUM(AB380:AD380)</f>
        <v>4</v>
      </c>
      <c r="AF380" s="62">
        <f t="shared" si="85"/>
        <v>25</v>
      </c>
    </row>
    <row r="381" spans="1:32" hidden="1" x14ac:dyDescent="0.35">
      <c r="A381" s="111" t="s">
        <v>363</v>
      </c>
      <c r="C381" s="63" t="s">
        <v>227</v>
      </c>
      <c r="D381" s="63">
        <v>8</v>
      </c>
      <c r="E381" s="63">
        <v>1</v>
      </c>
      <c r="F381" s="63"/>
      <c r="G381" s="61">
        <f>SUM(D381:F381)</f>
        <v>9</v>
      </c>
      <c r="H381" s="63"/>
      <c r="I381" s="63"/>
      <c r="J381" s="63"/>
      <c r="K381" s="61">
        <f>SUM(H381:J381)</f>
        <v>0</v>
      </c>
      <c r="L381" s="63">
        <v>1</v>
      </c>
      <c r="M381" s="63">
        <v>1</v>
      </c>
      <c r="N381" s="63"/>
      <c r="O381" s="61">
        <f>SUM(L381:N381)</f>
        <v>2</v>
      </c>
      <c r="P381" s="63"/>
      <c r="Q381" s="63"/>
      <c r="R381" s="63"/>
      <c r="S381" s="61">
        <f>SUM(P381:R381)</f>
        <v>0</v>
      </c>
      <c r="T381" s="63"/>
      <c r="U381" s="63"/>
      <c r="V381" s="63"/>
      <c r="W381" s="61">
        <f>SUM(T381:V381)</f>
        <v>0</v>
      </c>
      <c r="X381" s="63">
        <v>1</v>
      </c>
      <c r="Y381" s="63"/>
      <c r="Z381" s="63"/>
      <c r="AA381" s="61">
        <f>SUM(X381:Z381)</f>
        <v>1</v>
      </c>
      <c r="AB381" s="63"/>
      <c r="AC381" s="63"/>
      <c r="AD381" s="63"/>
      <c r="AE381" s="61">
        <f>SUM(AB381:AD381)</f>
        <v>0</v>
      </c>
      <c r="AF381" s="64">
        <f t="shared" si="85"/>
        <v>12</v>
      </c>
    </row>
    <row r="382" spans="1:32" hidden="1" x14ac:dyDescent="0.35">
      <c r="A382" s="111"/>
      <c r="C382" s="60" t="s">
        <v>228</v>
      </c>
      <c r="D382" s="60">
        <v>6</v>
      </c>
      <c r="E382" s="60"/>
      <c r="F382" s="60"/>
      <c r="G382" s="61">
        <f>SUM(D382:F382)</f>
        <v>6</v>
      </c>
      <c r="H382" s="60"/>
      <c r="I382" s="60"/>
      <c r="J382" s="60"/>
      <c r="K382" s="61">
        <f>SUM(H382:J382)</f>
        <v>0</v>
      </c>
      <c r="L382" s="60">
        <v>2</v>
      </c>
      <c r="M382" s="60"/>
      <c r="N382" s="60"/>
      <c r="O382" s="61">
        <f>SUM(L382:N382)</f>
        <v>2</v>
      </c>
      <c r="P382" s="60"/>
      <c r="Q382" s="60"/>
      <c r="R382" s="60"/>
      <c r="S382" s="61">
        <f>SUM(P382:R382)</f>
        <v>0</v>
      </c>
      <c r="T382" s="60"/>
      <c r="U382" s="60"/>
      <c r="V382" s="60"/>
      <c r="W382" s="61">
        <f>SUM(T382:V382)</f>
        <v>0</v>
      </c>
      <c r="X382" s="60">
        <v>1</v>
      </c>
      <c r="Y382" s="60"/>
      <c r="Z382" s="60"/>
      <c r="AA382" s="61">
        <f>SUM(X382:Z382)</f>
        <v>1</v>
      </c>
      <c r="AB382" s="60">
        <v>1</v>
      </c>
      <c r="AC382" s="60"/>
      <c r="AD382" s="60"/>
      <c r="AE382" s="61">
        <f>SUM(AB382:AD382)</f>
        <v>1</v>
      </c>
      <c r="AF382" s="65">
        <f t="shared" si="85"/>
        <v>10</v>
      </c>
    </row>
    <row r="383" spans="1:32" hidden="1" x14ac:dyDescent="0.35">
      <c r="A383" s="111"/>
      <c r="C383" s="63" t="s">
        <v>235</v>
      </c>
      <c r="D383" s="63">
        <v>4</v>
      </c>
      <c r="E383" s="63"/>
      <c r="F383" s="63"/>
      <c r="G383" s="61">
        <f>SUM(D383:F383)</f>
        <v>4</v>
      </c>
      <c r="H383" s="63"/>
      <c r="I383" s="63">
        <v>1</v>
      </c>
      <c r="J383" s="63"/>
      <c r="K383" s="61">
        <f>SUM(H383:J383)</f>
        <v>1</v>
      </c>
      <c r="L383" s="63">
        <v>9</v>
      </c>
      <c r="M383" s="63">
        <v>3</v>
      </c>
      <c r="N383" s="63"/>
      <c r="O383" s="61">
        <f>SUM(L383:N383)</f>
        <v>12</v>
      </c>
      <c r="P383" s="63"/>
      <c r="Q383" s="63"/>
      <c r="R383" s="63"/>
      <c r="S383" s="61">
        <f>SUM(P383:R383)</f>
        <v>0</v>
      </c>
      <c r="T383" s="63"/>
      <c r="U383" s="63"/>
      <c r="V383" s="63"/>
      <c r="W383" s="61">
        <f>SUM(T383:V383)</f>
        <v>0</v>
      </c>
      <c r="X383" s="63">
        <v>1</v>
      </c>
      <c r="Y383" s="63">
        <v>2</v>
      </c>
      <c r="Z383" s="63"/>
      <c r="AA383" s="61">
        <f>SUM(X383:Z383)</f>
        <v>3</v>
      </c>
      <c r="AB383" s="63"/>
      <c r="AC383" s="63"/>
      <c r="AD383" s="63"/>
      <c r="AE383" s="61">
        <f>SUM(AB383:AD383)</f>
        <v>0</v>
      </c>
      <c r="AF383" s="63">
        <f t="shared" si="85"/>
        <v>20</v>
      </c>
    </row>
    <row r="384" spans="1:32" x14ac:dyDescent="0.35">
      <c r="A384" s="66" t="s">
        <v>362</v>
      </c>
      <c r="B384" s="67" t="s">
        <v>303</v>
      </c>
      <c r="C384" s="66"/>
      <c r="D384" s="66">
        <f t="shared" ref="D384:AE384" si="90">SUM(D380:D383)</f>
        <v>28</v>
      </c>
      <c r="E384" s="66">
        <f t="shared" si="90"/>
        <v>3</v>
      </c>
      <c r="F384" s="66">
        <f t="shared" si="90"/>
        <v>0</v>
      </c>
      <c r="G384" s="61">
        <f t="shared" si="90"/>
        <v>31</v>
      </c>
      <c r="H384" s="66">
        <f t="shared" si="90"/>
        <v>0</v>
      </c>
      <c r="I384" s="66">
        <f t="shared" si="90"/>
        <v>1</v>
      </c>
      <c r="J384" s="66">
        <f t="shared" si="90"/>
        <v>0</v>
      </c>
      <c r="K384" s="61">
        <f t="shared" si="90"/>
        <v>1</v>
      </c>
      <c r="L384" s="66">
        <f t="shared" si="90"/>
        <v>16</v>
      </c>
      <c r="M384" s="66">
        <f t="shared" si="90"/>
        <v>5</v>
      </c>
      <c r="N384" s="66">
        <f t="shared" si="90"/>
        <v>0</v>
      </c>
      <c r="O384" s="61">
        <f t="shared" si="90"/>
        <v>21</v>
      </c>
      <c r="P384" s="66">
        <f t="shared" si="90"/>
        <v>0</v>
      </c>
      <c r="Q384" s="66">
        <f t="shared" si="90"/>
        <v>0</v>
      </c>
      <c r="R384" s="66">
        <f t="shared" si="90"/>
        <v>0</v>
      </c>
      <c r="S384" s="61">
        <f t="shared" si="90"/>
        <v>0</v>
      </c>
      <c r="T384" s="66">
        <f t="shared" si="90"/>
        <v>0</v>
      </c>
      <c r="U384" s="66">
        <f t="shared" si="90"/>
        <v>0</v>
      </c>
      <c r="V384" s="66">
        <f t="shared" si="90"/>
        <v>0</v>
      </c>
      <c r="W384" s="61">
        <f t="shared" si="90"/>
        <v>0</v>
      </c>
      <c r="X384" s="66">
        <f t="shared" si="90"/>
        <v>7</v>
      </c>
      <c r="Y384" s="66">
        <f t="shared" si="90"/>
        <v>2</v>
      </c>
      <c r="Z384" s="66">
        <f t="shared" si="90"/>
        <v>0</v>
      </c>
      <c r="AA384" s="61">
        <f t="shared" si="90"/>
        <v>9</v>
      </c>
      <c r="AB384" s="66">
        <f t="shared" si="90"/>
        <v>5</v>
      </c>
      <c r="AC384" s="66">
        <f t="shared" si="90"/>
        <v>0</v>
      </c>
      <c r="AD384" s="66">
        <f t="shared" si="90"/>
        <v>0</v>
      </c>
      <c r="AE384" s="61">
        <f t="shared" si="90"/>
        <v>5</v>
      </c>
      <c r="AF384" s="68">
        <f t="shared" si="85"/>
        <v>67</v>
      </c>
    </row>
    <row r="385" spans="1:32" hidden="1" x14ac:dyDescent="0.35">
      <c r="A385" s="59" t="s">
        <v>364</v>
      </c>
      <c r="B385" s="54" t="s">
        <v>365</v>
      </c>
      <c r="C385" s="60" t="s">
        <v>225</v>
      </c>
      <c r="D385" s="60">
        <v>5</v>
      </c>
      <c r="E385" s="60"/>
      <c r="F385" s="60"/>
      <c r="G385" s="61">
        <f>SUM(D385:F385)</f>
        <v>5</v>
      </c>
      <c r="H385" s="60"/>
      <c r="I385" s="60"/>
      <c r="J385" s="60"/>
      <c r="K385" s="61">
        <f>SUM(H385:J385)</f>
        <v>0</v>
      </c>
      <c r="L385" s="60"/>
      <c r="M385" s="60"/>
      <c r="N385" s="60"/>
      <c r="O385" s="61">
        <f>SUM(L385:N385)</f>
        <v>0</v>
      </c>
      <c r="P385" s="60"/>
      <c r="Q385" s="60"/>
      <c r="R385" s="60"/>
      <c r="S385" s="61">
        <f>SUM(P385:R385)</f>
        <v>0</v>
      </c>
      <c r="T385" s="60"/>
      <c r="U385" s="60"/>
      <c r="V385" s="60"/>
      <c r="W385" s="61">
        <f>SUM(T385:V385)</f>
        <v>0</v>
      </c>
      <c r="X385" s="60"/>
      <c r="Y385" s="60"/>
      <c r="Z385" s="60"/>
      <c r="AA385" s="61">
        <f>SUM(X385:Z385)</f>
        <v>0</v>
      </c>
      <c r="AB385" s="60"/>
      <c r="AC385" s="60"/>
      <c r="AD385" s="60"/>
      <c r="AE385" s="61">
        <f>SUM(AB385:AD385)</f>
        <v>0</v>
      </c>
      <c r="AF385" s="62">
        <f t="shared" si="85"/>
        <v>5</v>
      </c>
    </row>
    <row r="386" spans="1:32" hidden="1" x14ac:dyDescent="0.35">
      <c r="A386" s="111" t="s">
        <v>267</v>
      </c>
      <c r="C386" s="63" t="s">
        <v>227</v>
      </c>
      <c r="D386" s="63">
        <v>3</v>
      </c>
      <c r="E386" s="63"/>
      <c r="F386" s="63"/>
      <c r="G386" s="61">
        <f>SUM(D386:F386)</f>
        <v>3</v>
      </c>
      <c r="H386" s="63">
        <v>1</v>
      </c>
      <c r="I386" s="63"/>
      <c r="J386" s="63"/>
      <c r="K386" s="61">
        <f>SUM(H386:J386)</f>
        <v>1</v>
      </c>
      <c r="L386" s="63">
        <v>1</v>
      </c>
      <c r="M386" s="63"/>
      <c r="N386" s="63"/>
      <c r="O386" s="61">
        <f>SUM(L386:N386)</f>
        <v>1</v>
      </c>
      <c r="P386" s="63"/>
      <c r="Q386" s="63"/>
      <c r="R386" s="63"/>
      <c r="S386" s="61">
        <f>SUM(P386:R386)</f>
        <v>0</v>
      </c>
      <c r="T386" s="63"/>
      <c r="U386" s="63"/>
      <c r="V386" s="63"/>
      <c r="W386" s="61">
        <f>SUM(T386:V386)</f>
        <v>0</v>
      </c>
      <c r="X386" s="63"/>
      <c r="Y386" s="63"/>
      <c r="Z386" s="63"/>
      <c r="AA386" s="61">
        <f>SUM(X386:Z386)</f>
        <v>0</v>
      </c>
      <c r="AB386" s="63"/>
      <c r="AC386" s="63"/>
      <c r="AD386" s="63"/>
      <c r="AE386" s="61">
        <f>SUM(AB386:AD386)</f>
        <v>0</v>
      </c>
      <c r="AF386" s="64">
        <f t="shared" si="85"/>
        <v>5</v>
      </c>
    </row>
    <row r="387" spans="1:32" hidden="1" x14ac:dyDescent="0.35">
      <c r="A387" s="111"/>
      <c r="C387" s="60" t="s">
        <v>228</v>
      </c>
      <c r="D387" s="60">
        <v>4</v>
      </c>
      <c r="E387" s="60"/>
      <c r="F387" s="60"/>
      <c r="G387" s="61">
        <f>SUM(D387:F387)</f>
        <v>4</v>
      </c>
      <c r="H387" s="60">
        <v>1</v>
      </c>
      <c r="I387" s="60"/>
      <c r="J387" s="60"/>
      <c r="K387" s="61">
        <f>SUM(H387:J387)</f>
        <v>1</v>
      </c>
      <c r="L387" s="60">
        <v>1</v>
      </c>
      <c r="M387" s="60"/>
      <c r="N387" s="60"/>
      <c r="O387" s="61">
        <f>SUM(L387:N387)</f>
        <v>1</v>
      </c>
      <c r="P387" s="60"/>
      <c r="Q387" s="60"/>
      <c r="R387" s="60"/>
      <c r="S387" s="61">
        <f>SUM(P387:R387)</f>
        <v>0</v>
      </c>
      <c r="T387" s="60"/>
      <c r="U387" s="60"/>
      <c r="V387" s="60"/>
      <c r="W387" s="61">
        <f>SUM(T387:V387)</f>
        <v>0</v>
      </c>
      <c r="X387" s="60"/>
      <c r="Y387" s="60"/>
      <c r="Z387" s="60"/>
      <c r="AA387" s="61">
        <f>SUM(X387:Z387)</f>
        <v>0</v>
      </c>
      <c r="AB387" s="60"/>
      <c r="AC387" s="60"/>
      <c r="AD387" s="60"/>
      <c r="AE387" s="61">
        <f>SUM(AB387:AD387)</f>
        <v>0</v>
      </c>
      <c r="AF387" s="65">
        <f t="shared" si="85"/>
        <v>6</v>
      </c>
    </row>
    <row r="388" spans="1:32" hidden="1" x14ac:dyDescent="0.35">
      <c r="A388" s="111"/>
      <c r="C388" s="63" t="s">
        <v>235</v>
      </c>
      <c r="D388" s="63">
        <v>10</v>
      </c>
      <c r="E388" s="63"/>
      <c r="F388" s="63"/>
      <c r="G388" s="61">
        <f>SUM(D388:F388)</f>
        <v>10</v>
      </c>
      <c r="H388" s="63"/>
      <c r="I388" s="63"/>
      <c r="J388" s="63"/>
      <c r="K388" s="61">
        <f>SUM(H388:J388)</f>
        <v>0</v>
      </c>
      <c r="L388" s="63"/>
      <c r="M388" s="63"/>
      <c r="N388" s="63"/>
      <c r="O388" s="61">
        <f>SUM(L388:N388)</f>
        <v>0</v>
      </c>
      <c r="P388" s="63"/>
      <c r="Q388" s="63"/>
      <c r="R388" s="63"/>
      <c r="S388" s="61">
        <f>SUM(P388:R388)</f>
        <v>0</v>
      </c>
      <c r="T388" s="63"/>
      <c r="U388" s="63"/>
      <c r="V388" s="63"/>
      <c r="W388" s="61">
        <f>SUM(T388:V388)</f>
        <v>0</v>
      </c>
      <c r="X388" s="63"/>
      <c r="Y388" s="63"/>
      <c r="Z388" s="63"/>
      <c r="AA388" s="61">
        <f>SUM(X388:Z388)</f>
        <v>0</v>
      </c>
      <c r="AB388" s="63"/>
      <c r="AC388" s="63"/>
      <c r="AD388" s="63"/>
      <c r="AE388" s="61">
        <f>SUM(AB388:AD388)</f>
        <v>0</v>
      </c>
      <c r="AF388" s="63">
        <f t="shared" si="85"/>
        <v>10</v>
      </c>
    </row>
    <row r="389" spans="1:32" hidden="1" x14ac:dyDescent="0.35">
      <c r="A389" s="66" t="s">
        <v>267</v>
      </c>
      <c r="B389" s="67"/>
      <c r="C389" s="66"/>
      <c r="D389" s="66">
        <f t="shared" ref="D389:AE389" si="91">SUM(D385:D388)</f>
        <v>22</v>
      </c>
      <c r="E389" s="66">
        <f t="shared" si="91"/>
        <v>0</v>
      </c>
      <c r="F389" s="66">
        <f t="shared" si="91"/>
        <v>0</v>
      </c>
      <c r="G389" s="61">
        <f t="shared" si="91"/>
        <v>22</v>
      </c>
      <c r="H389" s="66">
        <f t="shared" si="91"/>
        <v>2</v>
      </c>
      <c r="I389" s="66">
        <f t="shared" si="91"/>
        <v>0</v>
      </c>
      <c r="J389" s="66">
        <f t="shared" si="91"/>
        <v>0</v>
      </c>
      <c r="K389" s="61">
        <f t="shared" si="91"/>
        <v>2</v>
      </c>
      <c r="L389" s="66">
        <f t="shared" si="91"/>
        <v>2</v>
      </c>
      <c r="M389" s="66">
        <f t="shared" si="91"/>
        <v>0</v>
      </c>
      <c r="N389" s="66">
        <f t="shared" si="91"/>
        <v>0</v>
      </c>
      <c r="O389" s="61">
        <f t="shared" si="91"/>
        <v>2</v>
      </c>
      <c r="P389" s="66">
        <f t="shared" si="91"/>
        <v>0</v>
      </c>
      <c r="Q389" s="66">
        <f t="shared" si="91"/>
        <v>0</v>
      </c>
      <c r="R389" s="66">
        <f t="shared" si="91"/>
        <v>0</v>
      </c>
      <c r="S389" s="61">
        <f t="shared" si="91"/>
        <v>0</v>
      </c>
      <c r="T389" s="66">
        <f t="shared" si="91"/>
        <v>0</v>
      </c>
      <c r="U389" s="66">
        <f t="shared" si="91"/>
        <v>0</v>
      </c>
      <c r="V389" s="66">
        <f t="shared" si="91"/>
        <v>0</v>
      </c>
      <c r="W389" s="61">
        <f t="shared" si="91"/>
        <v>0</v>
      </c>
      <c r="X389" s="66">
        <f t="shared" si="91"/>
        <v>0</v>
      </c>
      <c r="Y389" s="66">
        <f t="shared" si="91"/>
        <v>0</v>
      </c>
      <c r="Z389" s="66">
        <f t="shared" si="91"/>
        <v>0</v>
      </c>
      <c r="AA389" s="61">
        <f t="shared" si="91"/>
        <v>0</v>
      </c>
      <c r="AB389" s="66">
        <f t="shared" si="91"/>
        <v>0</v>
      </c>
      <c r="AC389" s="66">
        <f t="shared" si="91"/>
        <v>0</v>
      </c>
      <c r="AD389" s="66">
        <f t="shared" si="91"/>
        <v>0</v>
      </c>
      <c r="AE389" s="61">
        <f t="shared" si="91"/>
        <v>0</v>
      </c>
      <c r="AF389" s="68">
        <f t="shared" si="85"/>
        <v>26</v>
      </c>
    </row>
    <row r="390" spans="1:32" hidden="1" x14ac:dyDescent="0.35">
      <c r="A390" s="111" t="s">
        <v>366</v>
      </c>
      <c r="C390" s="60" t="s">
        <v>225</v>
      </c>
      <c r="D390" s="60"/>
      <c r="E390" s="60"/>
      <c r="F390" s="60"/>
      <c r="G390" s="61">
        <f>SUM(D390:F390)</f>
        <v>0</v>
      </c>
      <c r="H390" s="60"/>
      <c r="I390" s="60"/>
      <c r="J390" s="60"/>
      <c r="K390" s="61">
        <f>SUM(H390:J390)</f>
        <v>0</v>
      </c>
      <c r="L390" s="60"/>
      <c r="M390" s="60"/>
      <c r="N390" s="60"/>
      <c r="O390" s="61">
        <f>SUM(L390:N390)</f>
        <v>0</v>
      </c>
      <c r="P390" s="60"/>
      <c r="Q390" s="60"/>
      <c r="R390" s="60"/>
      <c r="S390" s="61">
        <f>SUM(P390:R390)</f>
        <v>0</v>
      </c>
      <c r="T390" s="60"/>
      <c r="U390" s="60"/>
      <c r="V390" s="60"/>
      <c r="W390" s="61">
        <f>SUM(T390:V390)</f>
        <v>0</v>
      </c>
      <c r="X390" s="60"/>
      <c r="Y390" s="60"/>
      <c r="Z390" s="60"/>
      <c r="AA390" s="61">
        <f>SUM(X390:Z390)</f>
        <v>0</v>
      </c>
      <c r="AB390" s="60">
        <v>3</v>
      </c>
      <c r="AC390" s="60">
        <v>3</v>
      </c>
      <c r="AD390" s="60"/>
      <c r="AE390" s="61">
        <f>SUM(AB390:AD390)</f>
        <v>6</v>
      </c>
      <c r="AF390" s="62">
        <f t="shared" si="85"/>
        <v>6</v>
      </c>
    </row>
    <row r="391" spans="1:32" hidden="1" x14ac:dyDescent="0.35">
      <c r="A391" s="111"/>
      <c r="C391" s="63" t="s">
        <v>227</v>
      </c>
      <c r="D391" s="63"/>
      <c r="E391" s="63"/>
      <c r="F391" s="63"/>
      <c r="G391" s="61">
        <f>SUM(D391:F391)</f>
        <v>0</v>
      </c>
      <c r="H391" s="63"/>
      <c r="I391" s="63"/>
      <c r="J391" s="63"/>
      <c r="K391" s="61">
        <f>SUM(H391:J391)</f>
        <v>0</v>
      </c>
      <c r="L391" s="63"/>
      <c r="M391" s="63"/>
      <c r="N391" s="63"/>
      <c r="O391" s="61">
        <f>SUM(L391:N391)</f>
        <v>0</v>
      </c>
      <c r="P391" s="63"/>
      <c r="Q391" s="63"/>
      <c r="R391" s="63"/>
      <c r="S391" s="61">
        <f>SUM(P391:R391)</f>
        <v>0</v>
      </c>
      <c r="T391" s="63"/>
      <c r="U391" s="63"/>
      <c r="V391" s="63"/>
      <c r="W391" s="61">
        <f>SUM(T391:V391)</f>
        <v>0</v>
      </c>
      <c r="X391" s="63"/>
      <c r="Y391" s="63"/>
      <c r="Z391" s="63"/>
      <c r="AA391" s="61">
        <f>SUM(X391:Z391)</f>
        <v>0</v>
      </c>
      <c r="AB391" s="63">
        <v>1</v>
      </c>
      <c r="AC391" s="63"/>
      <c r="AD391" s="63"/>
      <c r="AE391" s="61">
        <f>SUM(AB391:AD391)</f>
        <v>1</v>
      </c>
      <c r="AF391" s="64">
        <f t="shared" si="85"/>
        <v>1</v>
      </c>
    </row>
    <row r="392" spans="1:32" hidden="1" x14ac:dyDescent="0.35">
      <c r="A392" s="111"/>
      <c r="C392" s="60" t="s">
        <v>228</v>
      </c>
      <c r="D392" s="60"/>
      <c r="E392" s="60"/>
      <c r="F392" s="60"/>
      <c r="G392" s="61">
        <f>SUM(D392:F392)</f>
        <v>0</v>
      </c>
      <c r="H392" s="60"/>
      <c r="I392" s="60"/>
      <c r="J392" s="60"/>
      <c r="K392" s="61">
        <f>SUM(H392:J392)</f>
        <v>0</v>
      </c>
      <c r="L392" s="60"/>
      <c r="M392" s="60"/>
      <c r="N392" s="60"/>
      <c r="O392" s="61">
        <f>SUM(L392:N392)</f>
        <v>0</v>
      </c>
      <c r="P392" s="60"/>
      <c r="Q392" s="60"/>
      <c r="R392" s="60"/>
      <c r="S392" s="61">
        <f>SUM(P392:R392)</f>
        <v>0</v>
      </c>
      <c r="T392" s="60"/>
      <c r="U392" s="60"/>
      <c r="V392" s="60"/>
      <c r="W392" s="61">
        <f>SUM(T392:V392)</f>
        <v>0</v>
      </c>
      <c r="X392" s="60"/>
      <c r="Y392" s="60"/>
      <c r="Z392" s="60"/>
      <c r="AA392" s="61">
        <f>SUM(X392:Z392)</f>
        <v>0</v>
      </c>
      <c r="AB392" s="60">
        <v>4</v>
      </c>
      <c r="AC392" s="60"/>
      <c r="AD392" s="60"/>
      <c r="AE392" s="61">
        <f>SUM(AB392:AD392)</f>
        <v>4</v>
      </c>
      <c r="AF392" s="65">
        <f t="shared" ref="AF392:AF423" si="92">SUM(G392,K392,O392,S392,W392,AA392,AE392)</f>
        <v>4</v>
      </c>
    </row>
    <row r="393" spans="1:32" hidden="1" x14ac:dyDescent="0.35">
      <c r="A393" s="111"/>
      <c r="C393" s="63" t="s">
        <v>235</v>
      </c>
      <c r="D393" s="63"/>
      <c r="E393" s="63"/>
      <c r="F393" s="63"/>
      <c r="G393" s="61">
        <f>SUM(D393:F393)</f>
        <v>0</v>
      </c>
      <c r="H393" s="63"/>
      <c r="I393" s="63"/>
      <c r="J393" s="63"/>
      <c r="K393" s="61">
        <f>SUM(H393:J393)</f>
        <v>0</v>
      </c>
      <c r="L393" s="63"/>
      <c r="M393" s="63"/>
      <c r="N393" s="63"/>
      <c r="O393" s="61">
        <f>SUM(L393:N393)</f>
        <v>0</v>
      </c>
      <c r="P393" s="63"/>
      <c r="Q393" s="63"/>
      <c r="R393" s="63"/>
      <c r="S393" s="61">
        <f>SUM(P393:R393)</f>
        <v>0</v>
      </c>
      <c r="T393" s="63"/>
      <c r="U393" s="63"/>
      <c r="V393" s="63"/>
      <c r="W393" s="61">
        <f>SUM(T393:V393)</f>
        <v>0</v>
      </c>
      <c r="X393" s="63">
        <v>1</v>
      </c>
      <c r="Y393" s="63"/>
      <c r="Z393" s="63"/>
      <c r="AA393" s="61">
        <f>SUM(X393:Z393)</f>
        <v>1</v>
      </c>
      <c r="AB393" s="63">
        <v>1</v>
      </c>
      <c r="AC393" s="63"/>
      <c r="AD393" s="63"/>
      <c r="AE393" s="61">
        <f>SUM(AB393:AD393)</f>
        <v>1</v>
      </c>
      <c r="AF393" s="63">
        <f t="shared" si="92"/>
        <v>2</v>
      </c>
    </row>
    <row r="394" spans="1:32" hidden="1" x14ac:dyDescent="0.35">
      <c r="A394" s="76" t="s">
        <v>366</v>
      </c>
      <c r="B394" s="67"/>
      <c r="C394" s="66"/>
      <c r="D394" s="66">
        <f t="shared" ref="D394:AE394" si="93">SUM(D390:D393)</f>
        <v>0</v>
      </c>
      <c r="E394" s="66">
        <f t="shared" si="93"/>
        <v>0</v>
      </c>
      <c r="F394" s="66">
        <f t="shared" si="93"/>
        <v>0</v>
      </c>
      <c r="G394" s="61">
        <f t="shared" si="93"/>
        <v>0</v>
      </c>
      <c r="H394" s="66">
        <f t="shared" si="93"/>
        <v>0</v>
      </c>
      <c r="I394" s="66">
        <f t="shared" si="93"/>
        <v>0</v>
      </c>
      <c r="J394" s="66">
        <f t="shared" si="93"/>
        <v>0</v>
      </c>
      <c r="K394" s="61">
        <f t="shared" si="93"/>
        <v>0</v>
      </c>
      <c r="L394" s="66">
        <f t="shared" si="93"/>
        <v>0</v>
      </c>
      <c r="M394" s="66">
        <f t="shared" si="93"/>
        <v>0</v>
      </c>
      <c r="N394" s="66">
        <f t="shared" si="93"/>
        <v>0</v>
      </c>
      <c r="O394" s="61">
        <f t="shared" si="93"/>
        <v>0</v>
      </c>
      <c r="P394" s="66">
        <f t="shared" si="93"/>
        <v>0</v>
      </c>
      <c r="Q394" s="66">
        <f t="shared" si="93"/>
        <v>0</v>
      </c>
      <c r="R394" s="66">
        <f t="shared" si="93"/>
        <v>0</v>
      </c>
      <c r="S394" s="61">
        <f t="shared" si="93"/>
        <v>0</v>
      </c>
      <c r="T394" s="66">
        <f t="shared" si="93"/>
        <v>0</v>
      </c>
      <c r="U394" s="66">
        <f t="shared" si="93"/>
        <v>0</v>
      </c>
      <c r="V394" s="66">
        <f t="shared" si="93"/>
        <v>0</v>
      </c>
      <c r="W394" s="61">
        <f t="shared" si="93"/>
        <v>0</v>
      </c>
      <c r="X394" s="66">
        <f t="shared" si="93"/>
        <v>1</v>
      </c>
      <c r="Y394" s="66">
        <f t="shared" si="93"/>
        <v>0</v>
      </c>
      <c r="Z394" s="66">
        <f t="shared" si="93"/>
        <v>0</v>
      </c>
      <c r="AA394" s="61">
        <f t="shared" si="93"/>
        <v>1</v>
      </c>
      <c r="AB394" s="66">
        <f t="shared" si="93"/>
        <v>9</v>
      </c>
      <c r="AC394" s="66">
        <f t="shared" si="93"/>
        <v>3</v>
      </c>
      <c r="AD394" s="66">
        <f t="shared" si="93"/>
        <v>0</v>
      </c>
      <c r="AE394" s="61">
        <f t="shared" si="93"/>
        <v>12</v>
      </c>
      <c r="AF394" s="68">
        <f t="shared" si="92"/>
        <v>13</v>
      </c>
    </row>
    <row r="395" spans="1:32" x14ac:dyDescent="0.35">
      <c r="A395" s="66" t="s">
        <v>364</v>
      </c>
      <c r="B395" s="67" t="s">
        <v>365</v>
      </c>
      <c r="C395" s="66"/>
      <c r="D395" s="66">
        <f t="shared" ref="D395:AE395" si="94">SUM(D394,D389)</f>
        <v>22</v>
      </c>
      <c r="E395" s="66">
        <f t="shared" si="94"/>
        <v>0</v>
      </c>
      <c r="F395" s="66">
        <f t="shared" si="94"/>
        <v>0</v>
      </c>
      <c r="G395" s="61">
        <f t="shared" si="94"/>
        <v>22</v>
      </c>
      <c r="H395" s="66">
        <f t="shared" si="94"/>
        <v>2</v>
      </c>
      <c r="I395" s="66">
        <f t="shared" si="94"/>
        <v>0</v>
      </c>
      <c r="J395" s="66">
        <f t="shared" si="94"/>
        <v>0</v>
      </c>
      <c r="K395" s="61">
        <f t="shared" si="94"/>
        <v>2</v>
      </c>
      <c r="L395" s="66">
        <f t="shared" si="94"/>
        <v>2</v>
      </c>
      <c r="M395" s="66">
        <f t="shared" si="94"/>
        <v>0</v>
      </c>
      <c r="N395" s="66">
        <f t="shared" si="94"/>
        <v>0</v>
      </c>
      <c r="O395" s="61">
        <f t="shared" si="94"/>
        <v>2</v>
      </c>
      <c r="P395" s="66">
        <f t="shared" si="94"/>
        <v>0</v>
      </c>
      <c r="Q395" s="66">
        <f t="shared" si="94"/>
        <v>0</v>
      </c>
      <c r="R395" s="66">
        <f t="shared" si="94"/>
        <v>0</v>
      </c>
      <c r="S395" s="61">
        <f t="shared" si="94"/>
        <v>0</v>
      </c>
      <c r="T395" s="66">
        <f t="shared" si="94"/>
        <v>0</v>
      </c>
      <c r="U395" s="66">
        <f t="shared" si="94"/>
        <v>0</v>
      </c>
      <c r="V395" s="66">
        <f t="shared" si="94"/>
        <v>0</v>
      </c>
      <c r="W395" s="61">
        <f t="shared" si="94"/>
        <v>0</v>
      </c>
      <c r="X395" s="66">
        <f t="shared" si="94"/>
        <v>1</v>
      </c>
      <c r="Y395" s="66">
        <f t="shared" si="94"/>
        <v>0</v>
      </c>
      <c r="Z395" s="66">
        <f t="shared" si="94"/>
        <v>0</v>
      </c>
      <c r="AA395" s="61">
        <f t="shared" si="94"/>
        <v>1</v>
      </c>
      <c r="AB395" s="66">
        <f t="shared" si="94"/>
        <v>9</v>
      </c>
      <c r="AC395" s="66">
        <f t="shared" si="94"/>
        <v>3</v>
      </c>
      <c r="AD395" s="66">
        <f t="shared" si="94"/>
        <v>0</v>
      </c>
      <c r="AE395" s="61">
        <f t="shared" si="94"/>
        <v>12</v>
      </c>
      <c r="AF395" s="68">
        <f t="shared" si="92"/>
        <v>39</v>
      </c>
    </row>
    <row r="396" spans="1:32" hidden="1" x14ac:dyDescent="0.35">
      <c r="A396" s="59" t="s">
        <v>367</v>
      </c>
      <c r="B396" s="54" t="s">
        <v>368</v>
      </c>
      <c r="C396" s="60" t="s">
        <v>225</v>
      </c>
      <c r="D396" s="60"/>
      <c r="E396" s="60"/>
      <c r="F396" s="60"/>
      <c r="G396" s="61">
        <f>SUM(D396:F396)</f>
        <v>0</v>
      </c>
      <c r="H396" s="60"/>
      <c r="I396" s="60"/>
      <c r="J396" s="60"/>
      <c r="K396" s="61">
        <f>SUM(H396:J396)</f>
        <v>0</v>
      </c>
      <c r="L396" s="60"/>
      <c r="M396" s="60"/>
      <c r="N396" s="60"/>
      <c r="O396" s="61">
        <f>SUM(L396:N396)</f>
        <v>0</v>
      </c>
      <c r="P396" s="60"/>
      <c r="Q396" s="60"/>
      <c r="R396" s="60"/>
      <c r="S396" s="61">
        <f>SUM(P396:R396)</f>
        <v>0</v>
      </c>
      <c r="T396" s="60"/>
      <c r="U396" s="60"/>
      <c r="V396" s="60"/>
      <c r="W396" s="61">
        <f>SUM(T396:V396)</f>
        <v>0</v>
      </c>
      <c r="X396" s="60"/>
      <c r="Y396" s="60"/>
      <c r="Z396" s="60"/>
      <c r="AA396" s="61">
        <f>SUM(X396:Z396)</f>
        <v>0</v>
      </c>
      <c r="AB396" s="60">
        <v>1</v>
      </c>
      <c r="AC396" s="60"/>
      <c r="AD396" s="60"/>
      <c r="AE396" s="61">
        <f>SUM(AB396:AD396)</f>
        <v>1</v>
      </c>
      <c r="AF396" s="62">
        <f t="shared" si="92"/>
        <v>1</v>
      </c>
    </row>
    <row r="397" spans="1:32" hidden="1" x14ac:dyDescent="0.35">
      <c r="A397" s="111" t="s">
        <v>291</v>
      </c>
      <c r="C397" s="63" t="s">
        <v>227</v>
      </c>
      <c r="D397" s="63"/>
      <c r="E397" s="63"/>
      <c r="F397" s="63"/>
      <c r="G397" s="61">
        <f>SUM(D397:F397)</f>
        <v>0</v>
      </c>
      <c r="H397" s="63"/>
      <c r="I397" s="63"/>
      <c r="J397" s="63"/>
      <c r="K397" s="61">
        <f>SUM(H397:J397)</f>
        <v>0</v>
      </c>
      <c r="L397" s="63">
        <v>3</v>
      </c>
      <c r="M397" s="63"/>
      <c r="N397" s="63"/>
      <c r="O397" s="61">
        <f>SUM(L397:N397)</f>
        <v>3</v>
      </c>
      <c r="P397" s="63"/>
      <c r="Q397" s="63"/>
      <c r="R397" s="63"/>
      <c r="S397" s="61">
        <f>SUM(P397:R397)</f>
        <v>0</v>
      </c>
      <c r="T397" s="63"/>
      <c r="U397" s="63"/>
      <c r="V397" s="63"/>
      <c r="W397" s="61">
        <f>SUM(T397:V397)</f>
        <v>0</v>
      </c>
      <c r="X397" s="63"/>
      <c r="Y397" s="63"/>
      <c r="Z397" s="63"/>
      <c r="AA397" s="61">
        <f>SUM(X397:Z397)</f>
        <v>0</v>
      </c>
      <c r="AB397" s="63"/>
      <c r="AC397" s="63"/>
      <c r="AD397" s="63"/>
      <c r="AE397" s="61">
        <f>SUM(AB397:AD397)</f>
        <v>0</v>
      </c>
      <c r="AF397" s="64">
        <f t="shared" si="92"/>
        <v>3</v>
      </c>
    </row>
    <row r="398" spans="1:32" hidden="1" x14ac:dyDescent="0.35">
      <c r="A398" s="111"/>
      <c r="C398" s="60" t="s">
        <v>228</v>
      </c>
      <c r="D398" s="60"/>
      <c r="E398" s="60"/>
      <c r="F398" s="60"/>
      <c r="G398" s="61">
        <f>SUM(D398:F398)</f>
        <v>0</v>
      </c>
      <c r="H398" s="60"/>
      <c r="I398" s="60"/>
      <c r="J398" s="60"/>
      <c r="K398" s="61">
        <f>SUM(H398:J398)</f>
        <v>0</v>
      </c>
      <c r="L398" s="60"/>
      <c r="M398" s="60"/>
      <c r="N398" s="60"/>
      <c r="O398" s="61">
        <f>SUM(L398:N398)</f>
        <v>0</v>
      </c>
      <c r="P398" s="60"/>
      <c r="Q398" s="60"/>
      <c r="R398" s="60"/>
      <c r="S398" s="61">
        <f>SUM(P398:R398)</f>
        <v>0</v>
      </c>
      <c r="T398" s="60"/>
      <c r="U398" s="60"/>
      <c r="V398" s="60"/>
      <c r="W398" s="61">
        <f>SUM(T398:V398)</f>
        <v>0</v>
      </c>
      <c r="X398" s="60"/>
      <c r="Y398" s="60"/>
      <c r="Z398" s="60"/>
      <c r="AA398" s="61">
        <f>SUM(X398:Z398)</f>
        <v>0</v>
      </c>
      <c r="AB398" s="60">
        <v>3</v>
      </c>
      <c r="AC398" s="60"/>
      <c r="AD398" s="60"/>
      <c r="AE398" s="61">
        <f>SUM(AB398:AD398)</f>
        <v>3</v>
      </c>
      <c r="AF398" s="65">
        <f t="shared" si="92"/>
        <v>3</v>
      </c>
    </row>
    <row r="399" spans="1:32" hidden="1" x14ac:dyDescent="0.35">
      <c r="A399" s="111"/>
      <c r="C399" s="63" t="s">
        <v>235</v>
      </c>
      <c r="D399" s="63">
        <v>2</v>
      </c>
      <c r="E399" s="63"/>
      <c r="F399" s="63"/>
      <c r="G399" s="61">
        <f>SUM(D399:F399)</f>
        <v>2</v>
      </c>
      <c r="H399" s="63"/>
      <c r="I399" s="63"/>
      <c r="J399" s="63"/>
      <c r="K399" s="61">
        <f>SUM(H399:J399)</f>
        <v>0</v>
      </c>
      <c r="L399" s="63"/>
      <c r="M399" s="63"/>
      <c r="N399" s="63"/>
      <c r="O399" s="61">
        <f>SUM(L399:N399)</f>
        <v>0</v>
      </c>
      <c r="P399" s="63"/>
      <c r="Q399" s="63"/>
      <c r="R399" s="63"/>
      <c r="S399" s="61">
        <f>SUM(P399:R399)</f>
        <v>0</v>
      </c>
      <c r="T399" s="63"/>
      <c r="U399" s="63"/>
      <c r="V399" s="63"/>
      <c r="W399" s="61">
        <f>SUM(T399:V399)</f>
        <v>0</v>
      </c>
      <c r="X399" s="63"/>
      <c r="Y399" s="63"/>
      <c r="Z399" s="63"/>
      <c r="AA399" s="61">
        <f>SUM(X399:Z399)</f>
        <v>0</v>
      </c>
      <c r="AB399" s="63">
        <v>3</v>
      </c>
      <c r="AC399" s="63"/>
      <c r="AD399" s="63"/>
      <c r="AE399" s="61">
        <f>SUM(AB399:AD399)</f>
        <v>3</v>
      </c>
      <c r="AF399" s="63">
        <f t="shared" si="92"/>
        <v>5</v>
      </c>
    </row>
    <row r="400" spans="1:32" x14ac:dyDescent="0.35">
      <c r="A400" s="66" t="s">
        <v>367</v>
      </c>
      <c r="B400" s="67" t="s">
        <v>368</v>
      </c>
      <c r="C400" s="66"/>
      <c r="D400" s="66">
        <f t="shared" ref="D400:AE400" si="95">SUM(D396:D399)</f>
        <v>2</v>
      </c>
      <c r="E400" s="66">
        <f t="shared" si="95"/>
        <v>0</v>
      </c>
      <c r="F400" s="66">
        <f t="shared" si="95"/>
        <v>0</v>
      </c>
      <c r="G400" s="61">
        <f t="shared" si="95"/>
        <v>2</v>
      </c>
      <c r="H400" s="66">
        <f t="shared" si="95"/>
        <v>0</v>
      </c>
      <c r="I400" s="66">
        <f t="shared" si="95"/>
        <v>0</v>
      </c>
      <c r="J400" s="66">
        <f t="shared" si="95"/>
        <v>0</v>
      </c>
      <c r="K400" s="61">
        <f t="shared" si="95"/>
        <v>0</v>
      </c>
      <c r="L400" s="66">
        <f t="shared" si="95"/>
        <v>3</v>
      </c>
      <c r="M400" s="66">
        <f t="shared" si="95"/>
        <v>0</v>
      </c>
      <c r="N400" s="66">
        <f t="shared" si="95"/>
        <v>0</v>
      </c>
      <c r="O400" s="61">
        <f t="shared" si="95"/>
        <v>3</v>
      </c>
      <c r="P400" s="66">
        <f t="shared" si="95"/>
        <v>0</v>
      </c>
      <c r="Q400" s="66">
        <f t="shared" si="95"/>
        <v>0</v>
      </c>
      <c r="R400" s="66">
        <f t="shared" si="95"/>
        <v>0</v>
      </c>
      <c r="S400" s="61">
        <f t="shared" si="95"/>
        <v>0</v>
      </c>
      <c r="T400" s="66">
        <f t="shared" si="95"/>
        <v>0</v>
      </c>
      <c r="U400" s="66">
        <f t="shared" si="95"/>
        <v>0</v>
      </c>
      <c r="V400" s="66">
        <f t="shared" si="95"/>
        <v>0</v>
      </c>
      <c r="W400" s="61">
        <f t="shared" si="95"/>
        <v>0</v>
      </c>
      <c r="X400" s="66">
        <f t="shared" si="95"/>
        <v>0</v>
      </c>
      <c r="Y400" s="66">
        <f t="shared" si="95"/>
        <v>0</v>
      </c>
      <c r="Z400" s="66">
        <f t="shared" si="95"/>
        <v>0</v>
      </c>
      <c r="AA400" s="61">
        <f t="shared" si="95"/>
        <v>0</v>
      </c>
      <c r="AB400" s="66">
        <f t="shared" si="95"/>
        <v>7</v>
      </c>
      <c r="AC400" s="66">
        <f t="shared" si="95"/>
        <v>0</v>
      </c>
      <c r="AD400" s="66">
        <f t="shared" si="95"/>
        <v>0</v>
      </c>
      <c r="AE400" s="61">
        <f t="shared" si="95"/>
        <v>7</v>
      </c>
      <c r="AF400" s="68">
        <f t="shared" si="92"/>
        <v>12</v>
      </c>
    </row>
    <row r="401" spans="1:32" hidden="1" x14ac:dyDescent="0.35">
      <c r="A401" s="59" t="s">
        <v>369</v>
      </c>
      <c r="B401" s="54">
        <v>10</v>
      </c>
      <c r="C401" s="60" t="s">
        <v>225</v>
      </c>
      <c r="D401" s="60">
        <v>8</v>
      </c>
      <c r="E401" s="60">
        <v>5</v>
      </c>
      <c r="F401" s="60"/>
      <c r="G401" s="61">
        <f>SUM(D401:F401)</f>
        <v>13</v>
      </c>
      <c r="H401" s="60"/>
      <c r="I401" s="60">
        <v>1</v>
      </c>
      <c r="J401" s="60"/>
      <c r="K401" s="61">
        <f>SUM(H401:J401)</f>
        <v>1</v>
      </c>
      <c r="L401" s="60">
        <v>2</v>
      </c>
      <c r="M401" s="60"/>
      <c r="N401" s="60"/>
      <c r="O401" s="61">
        <f>SUM(L401:N401)</f>
        <v>2</v>
      </c>
      <c r="P401" s="60"/>
      <c r="Q401" s="60"/>
      <c r="R401" s="60"/>
      <c r="S401" s="61">
        <f>SUM(P401:R401)</f>
        <v>0</v>
      </c>
      <c r="T401" s="60"/>
      <c r="U401" s="60"/>
      <c r="V401" s="60"/>
      <c r="W401" s="61">
        <f>SUM(T401:V401)</f>
        <v>0</v>
      </c>
      <c r="X401" s="60"/>
      <c r="Y401" s="60"/>
      <c r="Z401" s="60"/>
      <c r="AA401" s="61">
        <f>SUM(X401:Z401)</f>
        <v>0</v>
      </c>
      <c r="AB401" s="60">
        <v>11</v>
      </c>
      <c r="AC401" s="60">
        <v>5</v>
      </c>
      <c r="AD401" s="60"/>
      <c r="AE401" s="61">
        <f>SUM(AB401:AD401)</f>
        <v>16</v>
      </c>
      <c r="AF401" s="62">
        <f t="shared" si="92"/>
        <v>32</v>
      </c>
    </row>
    <row r="402" spans="1:32" hidden="1" x14ac:dyDescent="0.35">
      <c r="A402" s="111" t="s">
        <v>291</v>
      </c>
      <c r="C402" s="63" t="s">
        <v>227</v>
      </c>
      <c r="D402" s="63">
        <v>10</v>
      </c>
      <c r="E402" s="63">
        <v>2</v>
      </c>
      <c r="F402" s="63"/>
      <c r="G402" s="61">
        <f>SUM(D402:F402)</f>
        <v>12</v>
      </c>
      <c r="H402" s="63"/>
      <c r="I402" s="63"/>
      <c r="J402" s="63"/>
      <c r="K402" s="61">
        <f>SUM(H402:J402)</f>
        <v>0</v>
      </c>
      <c r="L402" s="63"/>
      <c r="M402" s="63">
        <v>1</v>
      </c>
      <c r="N402" s="63"/>
      <c r="O402" s="61">
        <f>SUM(L402:N402)</f>
        <v>1</v>
      </c>
      <c r="P402" s="63"/>
      <c r="Q402" s="63"/>
      <c r="R402" s="63"/>
      <c r="S402" s="61">
        <f>SUM(P402:R402)</f>
        <v>0</v>
      </c>
      <c r="T402" s="63"/>
      <c r="U402" s="63"/>
      <c r="V402" s="63"/>
      <c r="W402" s="61">
        <f>SUM(T402:V402)</f>
        <v>0</v>
      </c>
      <c r="X402" s="63">
        <v>1</v>
      </c>
      <c r="Y402" s="63"/>
      <c r="Z402" s="63"/>
      <c r="AA402" s="61">
        <f>SUM(X402:Z402)</f>
        <v>1</v>
      </c>
      <c r="AB402" s="63">
        <v>7</v>
      </c>
      <c r="AC402" s="63">
        <v>1</v>
      </c>
      <c r="AD402" s="63"/>
      <c r="AE402" s="61">
        <f>SUM(AB402:AD402)</f>
        <v>8</v>
      </c>
      <c r="AF402" s="64">
        <f t="shared" si="92"/>
        <v>22</v>
      </c>
    </row>
    <row r="403" spans="1:32" hidden="1" x14ac:dyDescent="0.35">
      <c r="A403" s="111"/>
      <c r="C403" s="60" t="s">
        <v>228</v>
      </c>
      <c r="D403" s="60">
        <v>15</v>
      </c>
      <c r="E403" s="60">
        <v>1</v>
      </c>
      <c r="F403" s="60"/>
      <c r="G403" s="61">
        <f>SUM(D403:F403)</f>
        <v>16</v>
      </c>
      <c r="H403" s="60">
        <v>1</v>
      </c>
      <c r="I403" s="60"/>
      <c r="J403" s="60"/>
      <c r="K403" s="61">
        <f>SUM(H403:J403)</f>
        <v>1</v>
      </c>
      <c r="L403" s="60"/>
      <c r="M403" s="60"/>
      <c r="N403" s="60"/>
      <c r="O403" s="61">
        <f>SUM(L403:N403)</f>
        <v>0</v>
      </c>
      <c r="P403" s="60"/>
      <c r="Q403" s="60"/>
      <c r="R403" s="60"/>
      <c r="S403" s="61">
        <f>SUM(P403:R403)</f>
        <v>0</v>
      </c>
      <c r="T403" s="60"/>
      <c r="U403" s="60"/>
      <c r="V403" s="60"/>
      <c r="W403" s="61">
        <f>SUM(T403:V403)</f>
        <v>0</v>
      </c>
      <c r="X403" s="60"/>
      <c r="Y403" s="60"/>
      <c r="Z403" s="60"/>
      <c r="AA403" s="61">
        <f>SUM(X403:Z403)</f>
        <v>0</v>
      </c>
      <c r="AB403" s="60">
        <v>5</v>
      </c>
      <c r="AC403" s="60">
        <v>2</v>
      </c>
      <c r="AD403" s="60"/>
      <c r="AE403" s="61">
        <f>SUM(AB403:AD403)</f>
        <v>7</v>
      </c>
      <c r="AF403" s="65">
        <f t="shared" si="92"/>
        <v>24</v>
      </c>
    </row>
    <row r="404" spans="1:32" hidden="1" x14ac:dyDescent="0.35">
      <c r="A404" s="111"/>
      <c r="C404" s="63" t="s">
        <v>235</v>
      </c>
      <c r="D404" s="63">
        <v>21</v>
      </c>
      <c r="E404" s="63">
        <v>7</v>
      </c>
      <c r="F404" s="63"/>
      <c r="G404" s="61">
        <f>SUM(D404:F404)</f>
        <v>28</v>
      </c>
      <c r="H404" s="63"/>
      <c r="I404" s="63"/>
      <c r="J404" s="63"/>
      <c r="K404" s="61">
        <f>SUM(H404:J404)</f>
        <v>0</v>
      </c>
      <c r="L404" s="63">
        <v>5</v>
      </c>
      <c r="M404" s="63"/>
      <c r="N404" s="63"/>
      <c r="O404" s="61">
        <f>SUM(L404:N404)</f>
        <v>5</v>
      </c>
      <c r="P404" s="63"/>
      <c r="Q404" s="63"/>
      <c r="R404" s="63"/>
      <c r="S404" s="61">
        <f>SUM(P404:R404)</f>
        <v>0</v>
      </c>
      <c r="T404" s="63"/>
      <c r="U404" s="63"/>
      <c r="V404" s="63"/>
      <c r="W404" s="61">
        <f>SUM(T404:V404)</f>
        <v>0</v>
      </c>
      <c r="X404" s="63">
        <v>2</v>
      </c>
      <c r="Y404" s="63"/>
      <c r="Z404" s="63"/>
      <c r="AA404" s="61">
        <f>SUM(X404:Z404)</f>
        <v>2</v>
      </c>
      <c r="AB404" s="63">
        <v>10</v>
      </c>
      <c r="AC404" s="63">
        <v>4</v>
      </c>
      <c r="AD404" s="63"/>
      <c r="AE404" s="61">
        <f>SUM(AB404:AD404)</f>
        <v>14</v>
      </c>
      <c r="AF404" s="63">
        <f t="shared" si="92"/>
        <v>49</v>
      </c>
    </row>
    <row r="405" spans="1:32" hidden="1" x14ac:dyDescent="0.35">
      <c r="A405" s="66" t="s">
        <v>291</v>
      </c>
      <c r="B405" s="67"/>
      <c r="C405" s="66"/>
      <c r="D405" s="66">
        <f t="shared" ref="D405:AE405" si="96">SUM(D401:D404)</f>
        <v>54</v>
      </c>
      <c r="E405" s="66">
        <f t="shared" si="96"/>
        <v>15</v>
      </c>
      <c r="F405" s="66">
        <f t="shared" si="96"/>
        <v>0</v>
      </c>
      <c r="G405" s="61">
        <f t="shared" si="96"/>
        <v>69</v>
      </c>
      <c r="H405" s="66">
        <f t="shared" si="96"/>
        <v>1</v>
      </c>
      <c r="I405" s="66">
        <f t="shared" si="96"/>
        <v>1</v>
      </c>
      <c r="J405" s="66">
        <f t="shared" si="96"/>
        <v>0</v>
      </c>
      <c r="K405" s="61">
        <f t="shared" si="96"/>
        <v>2</v>
      </c>
      <c r="L405" s="66">
        <f t="shared" si="96"/>
        <v>7</v>
      </c>
      <c r="M405" s="66">
        <f t="shared" si="96"/>
        <v>1</v>
      </c>
      <c r="N405" s="66">
        <f t="shared" si="96"/>
        <v>0</v>
      </c>
      <c r="O405" s="61">
        <f t="shared" si="96"/>
        <v>8</v>
      </c>
      <c r="P405" s="66">
        <f t="shared" si="96"/>
        <v>0</v>
      </c>
      <c r="Q405" s="66">
        <f t="shared" si="96"/>
        <v>0</v>
      </c>
      <c r="R405" s="66">
        <f t="shared" si="96"/>
        <v>0</v>
      </c>
      <c r="S405" s="61">
        <f t="shared" si="96"/>
        <v>0</v>
      </c>
      <c r="T405" s="66">
        <f t="shared" si="96"/>
        <v>0</v>
      </c>
      <c r="U405" s="66">
        <f t="shared" si="96"/>
        <v>0</v>
      </c>
      <c r="V405" s="66">
        <f t="shared" si="96"/>
        <v>0</v>
      </c>
      <c r="W405" s="61">
        <f t="shared" si="96"/>
        <v>0</v>
      </c>
      <c r="X405" s="66">
        <f t="shared" si="96"/>
        <v>3</v>
      </c>
      <c r="Y405" s="66">
        <f t="shared" si="96"/>
        <v>0</v>
      </c>
      <c r="Z405" s="66">
        <f t="shared" si="96"/>
        <v>0</v>
      </c>
      <c r="AA405" s="61">
        <f t="shared" si="96"/>
        <v>3</v>
      </c>
      <c r="AB405" s="66">
        <f t="shared" si="96"/>
        <v>33</v>
      </c>
      <c r="AC405" s="66">
        <f t="shared" si="96"/>
        <v>12</v>
      </c>
      <c r="AD405" s="66">
        <f t="shared" si="96"/>
        <v>0</v>
      </c>
      <c r="AE405" s="61">
        <f t="shared" si="96"/>
        <v>45</v>
      </c>
      <c r="AF405" s="68">
        <f t="shared" si="92"/>
        <v>127</v>
      </c>
    </row>
    <row r="406" spans="1:32" hidden="1" x14ac:dyDescent="0.35">
      <c r="A406" s="111" t="s">
        <v>370</v>
      </c>
      <c r="C406" s="60" t="s">
        <v>225</v>
      </c>
      <c r="D406" s="60"/>
      <c r="E406" s="60"/>
      <c r="F406" s="60"/>
      <c r="G406" s="61">
        <f>SUM(D406:F406)</f>
        <v>0</v>
      </c>
      <c r="H406" s="60"/>
      <c r="I406" s="60"/>
      <c r="J406" s="60"/>
      <c r="K406" s="61">
        <f>SUM(H406:J406)</f>
        <v>0</v>
      </c>
      <c r="L406" s="60"/>
      <c r="M406" s="60"/>
      <c r="N406" s="60"/>
      <c r="O406" s="61">
        <f>SUM(L406:N406)</f>
        <v>0</v>
      </c>
      <c r="P406" s="60"/>
      <c r="Q406" s="60"/>
      <c r="R406" s="60"/>
      <c r="S406" s="61">
        <f>SUM(P406:R406)</f>
        <v>0</v>
      </c>
      <c r="T406" s="60"/>
      <c r="U406" s="60"/>
      <c r="V406" s="60"/>
      <c r="W406" s="61">
        <f>SUM(T406:V406)</f>
        <v>0</v>
      </c>
      <c r="X406" s="60"/>
      <c r="Y406" s="60"/>
      <c r="Z406" s="60"/>
      <c r="AA406" s="61">
        <f>SUM(X406:Z406)</f>
        <v>0</v>
      </c>
      <c r="AB406" s="60"/>
      <c r="AC406" s="60"/>
      <c r="AD406" s="60"/>
      <c r="AE406" s="61">
        <f>SUM(AB406:AD406)</f>
        <v>0</v>
      </c>
      <c r="AF406" s="62">
        <f t="shared" si="92"/>
        <v>0</v>
      </c>
    </row>
    <row r="407" spans="1:32" hidden="1" x14ac:dyDescent="0.35">
      <c r="A407" s="111"/>
      <c r="C407" s="63" t="s">
        <v>227</v>
      </c>
      <c r="D407" s="63"/>
      <c r="E407" s="63"/>
      <c r="F407" s="63"/>
      <c r="G407" s="61">
        <f>SUM(D407:F407)</f>
        <v>0</v>
      </c>
      <c r="H407" s="63"/>
      <c r="I407" s="63"/>
      <c r="J407" s="63"/>
      <c r="K407" s="61">
        <f>SUM(H407:J407)</f>
        <v>0</v>
      </c>
      <c r="L407" s="63"/>
      <c r="M407" s="63"/>
      <c r="N407" s="63"/>
      <c r="O407" s="61">
        <f>SUM(L407:N407)</f>
        <v>0</v>
      </c>
      <c r="P407" s="63"/>
      <c r="Q407" s="63"/>
      <c r="R407" s="63"/>
      <c r="S407" s="61">
        <f>SUM(P407:R407)</f>
        <v>0</v>
      </c>
      <c r="T407" s="63"/>
      <c r="U407" s="63"/>
      <c r="V407" s="63"/>
      <c r="W407" s="61">
        <f>SUM(T407:V407)</f>
        <v>0</v>
      </c>
      <c r="X407" s="63"/>
      <c r="Y407" s="63"/>
      <c r="Z407" s="63"/>
      <c r="AA407" s="61">
        <f>SUM(X407:Z407)</f>
        <v>0</v>
      </c>
      <c r="AB407" s="63"/>
      <c r="AC407" s="63"/>
      <c r="AD407" s="63"/>
      <c r="AE407" s="61">
        <f>SUM(AB407:AD407)</f>
        <v>0</v>
      </c>
      <c r="AF407" s="64">
        <f t="shared" si="92"/>
        <v>0</v>
      </c>
    </row>
    <row r="408" spans="1:32" hidden="1" x14ac:dyDescent="0.35">
      <c r="A408" s="111"/>
      <c r="C408" s="60" t="s">
        <v>228</v>
      </c>
      <c r="D408" s="60"/>
      <c r="E408" s="60"/>
      <c r="F408" s="60"/>
      <c r="G408" s="61">
        <f>SUM(D408:F408)</f>
        <v>0</v>
      </c>
      <c r="H408" s="60"/>
      <c r="I408" s="60"/>
      <c r="J408" s="60"/>
      <c r="K408" s="61">
        <f>SUM(H408:J408)</f>
        <v>0</v>
      </c>
      <c r="L408" s="60"/>
      <c r="M408" s="60"/>
      <c r="N408" s="60"/>
      <c r="O408" s="61">
        <f>SUM(L408:N408)</f>
        <v>0</v>
      </c>
      <c r="P408" s="60"/>
      <c r="Q408" s="60"/>
      <c r="R408" s="60"/>
      <c r="S408" s="61">
        <f>SUM(P408:R408)</f>
        <v>0</v>
      </c>
      <c r="T408" s="60"/>
      <c r="U408" s="60"/>
      <c r="V408" s="60"/>
      <c r="W408" s="61">
        <f>SUM(T408:V408)</f>
        <v>0</v>
      </c>
      <c r="X408" s="60"/>
      <c r="Y408" s="60"/>
      <c r="Z408" s="60"/>
      <c r="AA408" s="61">
        <f>SUM(X408:Z408)</f>
        <v>0</v>
      </c>
      <c r="AB408" s="60"/>
      <c r="AC408" s="60"/>
      <c r="AD408" s="60"/>
      <c r="AE408" s="61">
        <f>SUM(AB408:AD408)</f>
        <v>0</v>
      </c>
      <c r="AF408" s="65">
        <f t="shared" si="92"/>
        <v>0</v>
      </c>
    </row>
    <row r="409" spans="1:32" hidden="1" x14ac:dyDescent="0.35">
      <c r="A409" s="111"/>
      <c r="C409" s="63" t="s">
        <v>235</v>
      </c>
      <c r="D409" s="63"/>
      <c r="E409" s="63"/>
      <c r="F409" s="63"/>
      <c r="G409" s="61">
        <f>SUM(D409:F409)</f>
        <v>0</v>
      </c>
      <c r="H409" s="63"/>
      <c r="I409" s="63"/>
      <c r="J409" s="63"/>
      <c r="K409" s="61">
        <f>SUM(H409:J409)</f>
        <v>0</v>
      </c>
      <c r="L409" s="63"/>
      <c r="M409" s="63"/>
      <c r="N409" s="63"/>
      <c r="O409" s="61">
        <f>SUM(L409:N409)</f>
        <v>0</v>
      </c>
      <c r="P409" s="63"/>
      <c r="Q409" s="63"/>
      <c r="R409" s="63"/>
      <c r="S409" s="61">
        <f>SUM(P409:R409)</f>
        <v>0</v>
      </c>
      <c r="T409" s="63"/>
      <c r="U409" s="63"/>
      <c r="V409" s="63"/>
      <c r="W409" s="61">
        <f>SUM(T409:V409)</f>
        <v>0</v>
      </c>
      <c r="X409" s="63"/>
      <c r="Y409" s="63"/>
      <c r="Z409" s="63"/>
      <c r="AA409" s="61">
        <f>SUM(X409:Z409)</f>
        <v>0</v>
      </c>
      <c r="AB409" s="63"/>
      <c r="AC409" s="63"/>
      <c r="AD409" s="63"/>
      <c r="AE409" s="61">
        <f>SUM(AB409:AD409)</f>
        <v>0</v>
      </c>
      <c r="AF409" s="63">
        <f t="shared" si="92"/>
        <v>0</v>
      </c>
    </row>
    <row r="410" spans="1:32" hidden="1" x14ac:dyDescent="0.35">
      <c r="A410" s="76" t="s">
        <v>371</v>
      </c>
      <c r="B410" s="67"/>
      <c r="C410" s="66"/>
      <c r="D410" s="66">
        <f t="shared" ref="D410:AE410" si="97">SUM(D406:D409)</f>
        <v>0</v>
      </c>
      <c r="E410" s="66">
        <f t="shared" si="97"/>
        <v>0</v>
      </c>
      <c r="F410" s="66">
        <f t="shared" si="97"/>
        <v>0</v>
      </c>
      <c r="G410" s="61">
        <f t="shared" si="97"/>
        <v>0</v>
      </c>
      <c r="H410" s="66">
        <f t="shared" si="97"/>
        <v>0</v>
      </c>
      <c r="I410" s="66">
        <f t="shared" si="97"/>
        <v>0</v>
      </c>
      <c r="J410" s="66">
        <f t="shared" si="97"/>
        <v>0</v>
      </c>
      <c r="K410" s="61">
        <f t="shared" si="97"/>
        <v>0</v>
      </c>
      <c r="L410" s="66">
        <f t="shared" si="97"/>
        <v>0</v>
      </c>
      <c r="M410" s="66">
        <f t="shared" si="97"/>
        <v>0</v>
      </c>
      <c r="N410" s="66">
        <f t="shared" si="97"/>
        <v>0</v>
      </c>
      <c r="O410" s="61">
        <f t="shared" si="97"/>
        <v>0</v>
      </c>
      <c r="P410" s="66">
        <f t="shared" si="97"/>
        <v>0</v>
      </c>
      <c r="Q410" s="66">
        <f t="shared" si="97"/>
        <v>0</v>
      </c>
      <c r="R410" s="66">
        <f t="shared" si="97"/>
        <v>0</v>
      </c>
      <c r="S410" s="61">
        <f t="shared" si="97"/>
        <v>0</v>
      </c>
      <c r="T410" s="66">
        <f t="shared" si="97"/>
        <v>0</v>
      </c>
      <c r="U410" s="66">
        <f t="shared" si="97"/>
        <v>0</v>
      </c>
      <c r="V410" s="66">
        <f t="shared" si="97"/>
        <v>0</v>
      </c>
      <c r="W410" s="61">
        <f t="shared" si="97"/>
        <v>0</v>
      </c>
      <c r="X410" s="66">
        <f t="shared" si="97"/>
        <v>0</v>
      </c>
      <c r="Y410" s="66">
        <f t="shared" si="97"/>
        <v>0</v>
      </c>
      <c r="Z410" s="66">
        <f t="shared" si="97"/>
        <v>0</v>
      </c>
      <c r="AA410" s="61">
        <f t="shared" si="97"/>
        <v>0</v>
      </c>
      <c r="AB410" s="66">
        <f t="shared" si="97"/>
        <v>0</v>
      </c>
      <c r="AC410" s="66">
        <f t="shared" si="97"/>
        <v>0</v>
      </c>
      <c r="AD410" s="66">
        <f t="shared" si="97"/>
        <v>0</v>
      </c>
      <c r="AE410" s="61">
        <f t="shared" si="97"/>
        <v>0</v>
      </c>
      <c r="AF410" s="68">
        <f t="shared" si="92"/>
        <v>0</v>
      </c>
    </row>
    <row r="411" spans="1:32" hidden="1" x14ac:dyDescent="0.35">
      <c r="A411" s="111" t="s">
        <v>372</v>
      </c>
      <c r="C411" s="60" t="s">
        <v>225</v>
      </c>
      <c r="D411" s="60">
        <v>139</v>
      </c>
      <c r="E411" s="60">
        <v>14</v>
      </c>
      <c r="F411" s="60">
        <v>3</v>
      </c>
      <c r="G411" s="61">
        <f>SUM(D411:F411)</f>
        <v>156</v>
      </c>
      <c r="H411" s="60">
        <v>19</v>
      </c>
      <c r="I411" s="60">
        <v>4</v>
      </c>
      <c r="J411" s="60"/>
      <c r="K411" s="61">
        <f>SUM(H411:J411)</f>
        <v>23</v>
      </c>
      <c r="L411" s="60">
        <v>9</v>
      </c>
      <c r="M411" s="60">
        <v>2</v>
      </c>
      <c r="N411" s="60"/>
      <c r="O411" s="61">
        <f>SUM(L411:N411)</f>
        <v>11</v>
      </c>
      <c r="P411" s="60"/>
      <c r="Q411" s="60"/>
      <c r="R411" s="60"/>
      <c r="S411" s="61">
        <f>SUM(P411:R411)</f>
        <v>0</v>
      </c>
      <c r="T411" s="60"/>
      <c r="U411" s="60"/>
      <c r="V411" s="60"/>
      <c r="W411" s="61">
        <f>SUM(T411:V411)</f>
        <v>0</v>
      </c>
      <c r="X411" s="60">
        <v>4</v>
      </c>
      <c r="Y411" s="60"/>
      <c r="Z411" s="60"/>
      <c r="AA411" s="61">
        <f>SUM(X411:Z411)</f>
        <v>4</v>
      </c>
      <c r="AB411" s="60">
        <v>22</v>
      </c>
      <c r="AC411" s="60">
        <v>3</v>
      </c>
      <c r="AD411" s="60">
        <v>1</v>
      </c>
      <c r="AE411" s="61">
        <f>SUM(AB411:AD411)</f>
        <v>26</v>
      </c>
      <c r="AF411" s="62">
        <f t="shared" si="92"/>
        <v>220</v>
      </c>
    </row>
    <row r="412" spans="1:32" hidden="1" x14ac:dyDescent="0.35">
      <c r="A412" s="111"/>
      <c r="C412" s="63" t="s">
        <v>227</v>
      </c>
      <c r="D412" s="63">
        <v>128</v>
      </c>
      <c r="E412" s="63">
        <v>10</v>
      </c>
      <c r="F412" s="63">
        <v>2</v>
      </c>
      <c r="G412" s="61">
        <f>SUM(D412:F412)</f>
        <v>140</v>
      </c>
      <c r="H412" s="63">
        <v>17</v>
      </c>
      <c r="I412" s="63">
        <v>1</v>
      </c>
      <c r="J412" s="63">
        <v>2</v>
      </c>
      <c r="K412" s="61">
        <f>SUM(H412:J412)</f>
        <v>20</v>
      </c>
      <c r="L412" s="63">
        <v>11</v>
      </c>
      <c r="M412" s="63">
        <v>3</v>
      </c>
      <c r="N412" s="63"/>
      <c r="O412" s="61">
        <f>SUM(L412:N412)</f>
        <v>14</v>
      </c>
      <c r="P412" s="63"/>
      <c r="Q412" s="63"/>
      <c r="R412" s="63"/>
      <c r="S412" s="61">
        <f>SUM(P412:R412)</f>
        <v>0</v>
      </c>
      <c r="T412" s="63"/>
      <c r="U412" s="63"/>
      <c r="V412" s="63"/>
      <c r="W412" s="61">
        <f>SUM(T412:V412)</f>
        <v>0</v>
      </c>
      <c r="X412" s="63">
        <v>5</v>
      </c>
      <c r="Y412" s="63"/>
      <c r="Z412" s="63"/>
      <c r="AA412" s="61">
        <f>SUM(X412:Z412)</f>
        <v>5</v>
      </c>
      <c r="AB412" s="63">
        <v>27</v>
      </c>
      <c r="AC412" s="63">
        <v>5</v>
      </c>
      <c r="AD412" s="63">
        <v>2</v>
      </c>
      <c r="AE412" s="61">
        <f>SUM(AB412:AD412)</f>
        <v>34</v>
      </c>
      <c r="AF412" s="64">
        <f t="shared" si="92"/>
        <v>213</v>
      </c>
    </row>
    <row r="413" spans="1:32" hidden="1" x14ac:dyDescent="0.35">
      <c r="A413" s="111"/>
      <c r="C413" s="60" t="s">
        <v>228</v>
      </c>
      <c r="D413" s="60">
        <v>102</v>
      </c>
      <c r="E413" s="60">
        <v>5</v>
      </c>
      <c r="F413" s="60">
        <v>3</v>
      </c>
      <c r="G413" s="61">
        <f>SUM(D413:F413)</f>
        <v>110</v>
      </c>
      <c r="H413" s="60">
        <v>4</v>
      </c>
      <c r="I413" s="60">
        <v>1</v>
      </c>
      <c r="J413" s="60"/>
      <c r="K413" s="61">
        <f>SUM(H413:J413)</f>
        <v>5</v>
      </c>
      <c r="L413" s="60"/>
      <c r="M413" s="60">
        <v>2</v>
      </c>
      <c r="N413" s="60"/>
      <c r="O413" s="61">
        <f>SUM(L413:N413)</f>
        <v>2</v>
      </c>
      <c r="P413" s="60"/>
      <c r="Q413" s="60"/>
      <c r="R413" s="60"/>
      <c r="S413" s="61">
        <f>SUM(P413:R413)</f>
        <v>0</v>
      </c>
      <c r="T413" s="60"/>
      <c r="U413" s="60"/>
      <c r="V413" s="60"/>
      <c r="W413" s="61">
        <f>SUM(T413:V413)</f>
        <v>0</v>
      </c>
      <c r="X413" s="60">
        <v>1</v>
      </c>
      <c r="Y413" s="60"/>
      <c r="Z413" s="60"/>
      <c r="AA413" s="61">
        <f>SUM(X413:Z413)</f>
        <v>1</v>
      </c>
      <c r="AB413" s="60">
        <v>6</v>
      </c>
      <c r="AC413" s="60">
        <v>2</v>
      </c>
      <c r="AD413" s="60">
        <v>2</v>
      </c>
      <c r="AE413" s="61">
        <f>SUM(AB413:AD413)</f>
        <v>10</v>
      </c>
      <c r="AF413" s="65">
        <f t="shared" si="92"/>
        <v>128</v>
      </c>
    </row>
    <row r="414" spans="1:32" hidden="1" x14ac:dyDescent="0.35">
      <c r="A414" s="111"/>
      <c r="C414" s="63" t="s">
        <v>235</v>
      </c>
      <c r="D414" s="63">
        <v>119</v>
      </c>
      <c r="E414" s="63">
        <v>6</v>
      </c>
      <c r="F414" s="63">
        <v>4</v>
      </c>
      <c r="G414" s="61">
        <f>SUM(D414:F414)</f>
        <v>129</v>
      </c>
      <c r="H414" s="63">
        <v>6</v>
      </c>
      <c r="I414" s="63">
        <v>1</v>
      </c>
      <c r="J414" s="63"/>
      <c r="K414" s="61">
        <f>SUM(H414:J414)</f>
        <v>7</v>
      </c>
      <c r="L414" s="63">
        <v>2</v>
      </c>
      <c r="M414" s="63">
        <v>2</v>
      </c>
      <c r="N414" s="63">
        <v>1</v>
      </c>
      <c r="O414" s="61">
        <f>SUM(L414:N414)</f>
        <v>5</v>
      </c>
      <c r="P414" s="63"/>
      <c r="Q414" s="63"/>
      <c r="R414" s="63"/>
      <c r="S414" s="61">
        <f>SUM(P414:R414)</f>
        <v>0</v>
      </c>
      <c r="T414" s="63"/>
      <c r="U414" s="63"/>
      <c r="V414" s="63"/>
      <c r="W414" s="61">
        <f>SUM(T414:V414)</f>
        <v>0</v>
      </c>
      <c r="X414" s="63">
        <v>1</v>
      </c>
      <c r="Y414" s="63"/>
      <c r="Z414" s="63"/>
      <c r="AA414" s="61">
        <f>SUM(X414:Z414)</f>
        <v>1</v>
      </c>
      <c r="AB414" s="63">
        <v>6</v>
      </c>
      <c r="AC414" s="63">
        <v>2</v>
      </c>
      <c r="AD414" s="63">
        <v>2</v>
      </c>
      <c r="AE414" s="61">
        <f>SUM(AB414:AD414)</f>
        <v>10</v>
      </c>
      <c r="AF414" s="63">
        <f t="shared" si="92"/>
        <v>152</v>
      </c>
    </row>
    <row r="415" spans="1:32" hidden="1" x14ac:dyDescent="0.35">
      <c r="A415" s="76" t="s">
        <v>373</v>
      </c>
      <c r="B415" s="67"/>
      <c r="C415" s="66"/>
      <c r="D415" s="66">
        <f t="shared" ref="D415:AE415" si="98">SUM(D411:D414)</f>
        <v>488</v>
      </c>
      <c r="E415" s="66">
        <f t="shared" si="98"/>
        <v>35</v>
      </c>
      <c r="F415" s="66">
        <f t="shared" si="98"/>
        <v>12</v>
      </c>
      <c r="G415" s="61">
        <f t="shared" si="98"/>
        <v>535</v>
      </c>
      <c r="H415" s="66">
        <f t="shared" si="98"/>
        <v>46</v>
      </c>
      <c r="I415" s="66">
        <f t="shared" si="98"/>
        <v>7</v>
      </c>
      <c r="J415" s="66">
        <f t="shared" si="98"/>
        <v>2</v>
      </c>
      <c r="K415" s="61">
        <f t="shared" si="98"/>
        <v>55</v>
      </c>
      <c r="L415" s="66">
        <f t="shared" si="98"/>
        <v>22</v>
      </c>
      <c r="M415" s="66">
        <f t="shared" si="98"/>
        <v>9</v>
      </c>
      <c r="N415" s="66">
        <f t="shared" si="98"/>
        <v>1</v>
      </c>
      <c r="O415" s="61">
        <f t="shared" si="98"/>
        <v>32</v>
      </c>
      <c r="P415" s="66">
        <f t="shared" si="98"/>
        <v>0</v>
      </c>
      <c r="Q415" s="66">
        <f t="shared" si="98"/>
        <v>0</v>
      </c>
      <c r="R415" s="66">
        <f t="shared" si="98"/>
        <v>0</v>
      </c>
      <c r="S415" s="61">
        <f t="shared" si="98"/>
        <v>0</v>
      </c>
      <c r="T415" s="66">
        <f t="shared" si="98"/>
        <v>0</v>
      </c>
      <c r="U415" s="66">
        <f t="shared" si="98"/>
        <v>0</v>
      </c>
      <c r="V415" s="66">
        <f t="shared" si="98"/>
        <v>0</v>
      </c>
      <c r="W415" s="61">
        <f t="shared" si="98"/>
        <v>0</v>
      </c>
      <c r="X415" s="66">
        <f t="shared" si="98"/>
        <v>11</v>
      </c>
      <c r="Y415" s="66">
        <f t="shared" si="98"/>
        <v>0</v>
      </c>
      <c r="Z415" s="66">
        <f t="shared" si="98"/>
        <v>0</v>
      </c>
      <c r="AA415" s="61">
        <f t="shared" si="98"/>
        <v>11</v>
      </c>
      <c r="AB415" s="66">
        <f t="shared" si="98"/>
        <v>61</v>
      </c>
      <c r="AC415" s="66">
        <f t="shared" si="98"/>
        <v>12</v>
      </c>
      <c r="AD415" s="66">
        <f t="shared" si="98"/>
        <v>7</v>
      </c>
      <c r="AE415" s="61">
        <f t="shared" si="98"/>
        <v>80</v>
      </c>
      <c r="AF415" s="68">
        <f t="shared" si="92"/>
        <v>713</v>
      </c>
    </row>
    <row r="416" spans="1:32" x14ac:dyDescent="0.35">
      <c r="A416" s="66" t="s">
        <v>369</v>
      </c>
      <c r="B416" s="67">
        <v>10</v>
      </c>
      <c r="C416" s="66"/>
      <c r="D416" s="66">
        <f>SUM(D415,D410, D405)</f>
        <v>542</v>
      </c>
      <c r="E416" s="66">
        <f t="shared" ref="E416:AE416" si="99">SUM(E415,E410,E405)</f>
        <v>50</v>
      </c>
      <c r="F416" s="66">
        <f t="shared" si="99"/>
        <v>12</v>
      </c>
      <c r="G416" s="61">
        <f t="shared" si="99"/>
        <v>604</v>
      </c>
      <c r="H416" s="66">
        <f t="shared" si="99"/>
        <v>47</v>
      </c>
      <c r="I416" s="66">
        <f t="shared" si="99"/>
        <v>8</v>
      </c>
      <c r="J416" s="66">
        <f t="shared" si="99"/>
        <v>2</v>
      </c>
      <c r="K416" s="61">
        <f t="shared" si="99"/>
        <v>57</v>
      </c>
      <c r="L416" s="66">
        <f t="shared" si="99"/>
        <v>29</v>
      </c>
      <c r="M416" s="66">
        <f t="shared" si="99"/>
        <v>10</v>
      </c>
      <c r="N416" s="66">
        <f t="shared" si="99"/>
        <v>1</v>
      </c>
      <c r="O416" s="61">
        <f t="shared" si="99"/>
        <v>40</v>
      </c>
      <c r="P416" s="66">
        <f t="shared" si="99"/>
        <v>0</v>
      </c>
      <c r="Q416" s="66">
        <f t="shared" si="99"/>
        <v>0</v>
      </c>
      <c r="R416" s="66">
        <f t="shared" si="99"/>
        <v>0</v>
      </c>
      <c r="S416" s="61">
        <f t="shared" si="99"/>
        <v>0</v>
      </c>
      <c r="T416" s="66">
        <f t="shared" si="99"/>
        <v>0</v>
      </c>
      <c r="U416" s="66">
        <f t="shared" si="99"/>
        <v>0</v>
      </c>
      <c r="V416" s="66">
        <f t="shared" si="99"/>
        <v>0</v>
      </c>
      <c r="W416" s="61">
        <f t="shared" si="99"/>
        <v>0</v>
      </c>
      <c r="X416" s="66">
        <f t="shared" si="99"/>
        <v>14</v>
      </c>
      <c r="Y416" s="66">
        <f t="shared" si="99"/>
        <v>0</v>
      </c>
      <c r="Z416" s="66">
        <f t="shared" si="99"/>
        <v>0</v>
      </c>
      <c r="AA416" s="61">
        <f t="shared" si="99"/>
        <v>14</v>
      </c>
      <c r="AB416" s="66">
        <f t="shared" si="99"/>
        <v>94</v>
      </c>
      <c r="AC416" s="66">
        <f t="shared" si="99"/>
        <v>24</v>
      </c>
      <c r="AD416" s="66">
        <f t="shared" si="99"/>
        <v>7</v>
      </c>
      <c r="AE416" s="61">
        <f t="shared" si="99"/>
        <v>125</v>
      </c>
      <c r="AF416" s="68">
        <f t="shared" si="92"/>
        <v>840</v>
      </c>
    </row>
    <row r="417" spans="1:32" hidden="1" x14ac:dyDescent="0.35">
      <c r="A417" s="59" t="s">
        <v>374</v>
      </c>
      <c r="B417" s="54" t="s">
        <v>368</v>
      </c>
      <c r="C417" s="60" t="s">
        <v>225</v>
      </c>
      <c r="D417" s="60"/>
      <c r="E417" s="60"/>
      <c r="F417" s="60"/>
      <c r="G417" s="61">
        <f>SUM(D417:F417)</f>
        <v>0</v>
      </c>
      <c r="H417" s="60"/>
      <c r="I417" s="60"/>
      <c r="J417" s="60"/>
      <c r="K417" s="61">
        <f>SUM(H417:J417)</f>
        <v>0</v>
      </c>
      <c r="L417" s="60"/>
      <c r="M417" s="60"/>
      <c r="N417" s="60"/>
      <c r="O417" s="61">
        <f>SUM(L417:N417)</f>
        <v>0</v>
      </c>
      <c r="P417" s="60"/>
      <c r="Q417" s="60"/>
      <c r="R417" s="60"/>
      <c r="S417" s="61">
        <f>SUM(P417:R417)</f>
        <v>0</v>
      </c>
      <c r="T417" s="60"/>
      <c r="U417" s="60"/>
      <c r="V417" s="60"/>
      <c r="W417" s="61">
        <f>SUM(T417:V417)</f>
        <v>0</v>
      </c>
      <c r="X417" s="60"/>
      <c r="Y417" s="60"/>
      <c r="Z417" s="60"/>
      <c r="AA417" s="61">
        <f>SUM(X417:Z417)</f>
        <v>0</v>
      </c>
      <c r="AB417" s="60"/>
      <c r="AC417" s="60"/>
      <c r="AD417" s="60"/>
      <c r="AE417" s="61">
        <f>SUM(AB417:AD417)</f>
        <v>0</v>
      </c>
      <c r="AF417" s="62">
        <f t="shared" si="92"/>
        <v>0</v>
      </c>
    </row>
    <row r="418" spans="1:32" hidden="1" x14ac:dyDescent="0.35">
      <c r="A418" s="111" t="s">
        <v>254</v>
      </c>
      <c r="C418" s="63" t="s">
        <v>227</v>
      </c>
      <c r="D418" s="63"/>
      <c r="E418" s="63"/>
      <c r="F418" s="63"/>
      <c r="G418" s="61">
        <f>SUM(D418:F418)</f>
        <v>0</v>
      </c>
      <c r="H418" s="63"/>
      <c r="I418" s="63"/>
      <c r="J418" s="63"/>
      <c r="K418" s="61">
        <f>SUM(H418:J418)</f>
        <v>0</v>
      </c>
      <c r="L418" s="63"/>
      <c r="M418" s="63"/>
      <c r="N418" s="63"/>
      <c r="O418" s="61">
        <f>SUM(L418:N418)</f>
        <v>0</v>
      </c>
      <c r="P418" s="63"/>
      <c r="Q418" s="63"/>
      <c r="R418" s="63"/>
      <c r="S418" s="61">
        <f>SUM(P418:R418)</f>
        <v>0</v>
      </c>
      <c r="T418" s="63"/>
      <c r="U418" s="63"/>
      <c r="V418" s="63"/>
      <c r="W418" s="61">
        <f>SUM(T418:V418)</f>
        <v>0</v>
      </c>
      <c r="X418" s="63"/>
      <c r="Y418" s="63"/>
      <c r="Z418" s="63"/>
      <c r="AA418" s="61">
        <f>SUM(X418:Z418)</f>
        <v>0</v>
      </c>
      <c r="AB418" s="63"/>
      <c r="AC418" s="63"/>
      <c r="AD418" s="63"/>
      <c r="AE418" s="61">
        <f>SUM(AB418:AD418)</f>
        <v>0</v>
      </c>
      <c r="AF418" s="64">
        <f t="shared" si="92"/>
        <v>0</v>
      </c>
    </row>
    <row r="419" spans="1:32" hidden="1" x14ac:dyDescent="0.35">
      <c r="A419" s="111"/>
      <c r="C419" s="60" t="s">
        <v>228</v>
      </c>
      <c r="D419" s="60"/>
      <c r="E419" s="60"/>
      <c r="F419" s="60"/>
      <c r="G419" s="61">
        <f>SUM(D419:F419)</f>
        <v>0</v>
      </c>
      <c r="H419" s="60"/>
      <c r="I419" s="60"/>
      <c r="J419" s="60"/>
      <c r="K419" s="61">
        <f>SUM(H419:J419)</f>
        <v>0</v>
      </c>
      <c r="L419" s="60"/>
      <c r="M419" s="60"/>
      <c r="N419" s="60"/>
      <c r="O419" s="61">
        <f>SUM(L419:N419)</f>
        <v>0</v>
      </c>
      <c r="P419" s="60"/>
      <c r="Q419" s="60"/>
      <c r="R419" s="60"/>
      <c r="S419" s="61">
        <f>SUM(P419:R419)</f>
        <v>0</v>
      </c>
      <c r="T419" s="60"/>
      <c r="U419" s="60"/>
      <c r="V419" s="60"/>
      <c r="W419" s="61">
        <f>SUM(T419:V419)</f>
        <v>0</v>
      </c>
      <c r="X419" s="60"/>
      <c r="Y419" s="60"/>
      <c r="Z419" s="60"/>
      <c r="AA419" s="61">
        <f>SUM(X419:Z419)</f>
        <v>0</v>
      </c>
      <c r="AB419" s="60"/>
      <c r="AC419" s="60"/>
      <c r="AD419" s="60"/>
      <c r="AE419" s="61">
        <f>SUM(AB419:AD419)</f>
        <v>0</v>
      </c>
      <c r="AF419" s="65">
        <f t="shared" si="92"/>
        <v>0</v>
      </c>
    </row>
    <row r="420" spans="1:32" hidden="1" x14ac:dyDescent="0.35">
      <c r="A420" s="111"/>
      <c r="C420" s="63" t="s">
        <v>235</v>
      </c>
      <c r="D420" s="63"/>
      <c r="E420" s="63"/>
      <c r="F420" s="63"/>
      <c r="G420" s="61">
        <f>SUM(D420:F420)</f>
        <v>0</v>
      </c>
      <c r="H420" s="63"/>
      <c r="I420" s="63"/>
      <c r="J420" s="63"/>
      <c r="K420" s="61">
        <f>SUM(H420:J420)</f>
        <v>0</v>
      </c>
      <c r="L420" s="63"/>
      <c r="M420" s="63"/>
      <c r="N420" s="63"/>
      <c r="O420" s="61">
        <f>SUM(L420:N420)</f>
        <v>0</v>
      </c>
      <c r="P420" s="63"/>
      <c r="Q420" s="63"/>
      <c r="R420" s="63"/>
      <c r="S420" s="61">
        <f>SUM(P420:R420)</f>
        <v>0</v>
      </c>
      <c r="T420" s="63"/>
      <c r="U420" s="63"/>
      <c r="V420" s="63"/>
      <c r="W420" s="61">
        <f>SUM(T420:V420)</f>
        <v>0</v>
      </c>
      <c r="X420" s="63"/>
      <c r="Y420" s="63"/>
      <c r="Z420" s="63"/>
      <c r="AA420" s="61">
        <f>SUM(X420:Z420)</f>
        <v>0</v>
      </c>
      <c r="AB420" s="63"/>
      <c r="AC420" s="63"/>
      <c r="AD420" s="63"/>
      <c r="AE420" s="61">
        <f>SUM(AB420:AD420)</f>
        <v>0</v>
      </c>
      <c r="AF420" s="63">
        <f t="shared" si="92"/>
        <v>0</v>
      </c>
    </row>
    <row r="421" spans="1:32" x14ac:dyDescent="0.35">
      <c r="A421" s="66" t="s">
        <v>374</v>
      </c>
      <c r="B421" s="67" t="s">
        <v>368</v>
      </c>
      <c r="C421" s="66"/>
      <c r="D421" s="66">
        <f t="shared" ref="D421:AE421" si="100">SUM(D417:D420)</f>
        <v>0</v>
      </c>
      <c r="E421" s="66">
        <f t="shared" si="100"/>
        <v>0</v>
      </c>
      <c r="F421" s="66">
        <f t="shared" si="100"/>
        <v>0</v>
      </c>
      <c r="G421" s="61">
        <f t="shared" si="100"/>
        <v>0</v>
      </c>
      <c r="H421" s="66">
        <f t="shared" si="100"/>
        <v>0</v>
      </c>
      <c r="I421" s="66">
        <f t="shared" si="100"/>
        <v>0</v>
      </c>
      <c r="J421" s="66">
        <f t="shared" si="100"/>
        <v>0</v>
      </c>
      <c r="K421" s="61">
        <f t="shared" si="100"/>
        <v>0</v>
      </c>
      <c r="L421" s="66">
        <f t="shared" si="100"/>
        <v>0</v>
      </c>
      <c r="M421" s="66">
        <f t="shared" si="100"/>
        <v>0</v>
      </c>
      <c r="N421" s="66">
        <f t="shared" si="100"/>
        <v>0</v>
      </c>
      <c r="O421" s="61">
        <f t="shared" si="100"/>
        <v>0</v>
      </c>
      <c r="P421" s="66">
        <f t="shared" si="100"/>
        <v>0</v>
      </c>
      <c r="Q421" s="66">
        <f t="shared" si="100"/>
        <v>0</v>
      </c>
      <c r="R421" s="66">
        <f t="shared" si="100"/>
        <v>0</v>
      </c>
      <c r="S421" s="61">
        <f t="shared" si="100"/>
        <v>0</v>
      </c>
      <c r="T421" s="66">
        <f t="shared" si="100"/>
        <v>0</v>
      </c>
      <c r="U421" s="66">
        <f t="shared" si="100"/>
        <v>0</v>
      </c>
      <c r="V421" s="66">
        <f t="shared" si="100"/>
        <v>0</v>
      </c>
      <c r="W421" s="61">
        <f t="shared" si="100"/>
        <v>0</v>
      </c>
      <c r="X421" s="66">
        <f t="shared" si="100"/>
        <v>0</v>
      </c>
      <c r="Y421" s="66">
        <f t="shared" si="100"/>
        <v>0</v>
      </c>
      <c r="Z421" s="66">
        <f t="shared" si="100"/>
        <v>0</v>
      </c>
      <c r="AA421" s="61">
        <f t="shared" si="100"/>
        <v>0</v>
      </c>
      <c r="AB421" s="66">
        <f t="shared" si="100"/>
        <v>0</v>
      </c>
      <c r="AC421" s="66">
        <f t="shared" si="100"/>
        <v>0</v>
      </c>
      <c r="AD421" s="66">
        <f t="shared" si="100"/>
        <v>0</v>
      </c>
      <c r="AE421" s="61">
        <f t="shared" si="100"/>
        <v>0</v>
      </c>
      <c r="AF421" s="68">
        <f t="shared" si="92"/>
        <v>0</v>
      </c>
    </row>
    <row r="422" spans="1:32" hidden="1" x14ac:dyDescent="0.35">
      <c r="A422" s="59" t="s">
        <v>375</v>
      </c>
      <c r="B422" s="54">
        <v>8</v>
      </c>
      <c r="C422" s="60" t="s">
        <v>225</v>
      </c>
      <c r="D422" s="60">
        <v>8</v>
      </c>
      <c r="E422" s="60"/>
      <c r="F422" s="60"/>
      <c r="G422" s="61">
        <f>SUM(D422:F422)</f>
        <v>8</v>
      </c>
      <c r="H422" s="60"/>
      <c r="I422" s="60"/>
      <c r="J422" s="60"/>
      <c r="K422" s="61">
        <f>SUM(H422:J422)</f>
        <v>0</v>
      </c>
      <c r="L422" s="60">
        <v>2</v>
      </c>
      <c r="M422" s="60"/>
      <c r="N422" s="60"/>
      <c r="O422" s="61">
        <f>SUM(L422:N422)</f>
        <v>2</v>
      </c>
      <c r="P422" s="60"/>
      <c r="Q422" s="60"/>
      <c r="R422" s="60"/>
      <c r="S422" s="61">
        <f>SUM(P422:R422)</f>
        <v>0</v>
      </c>
      <c r="T422" s="60"/>
      <c r="U422" s="60"/>
      <c r="V422" s="60"/>
      <c r="W422" s="61">
        <f>SUM(T422:V422)</f>
        <v>0</v>
      </c>
      <c r="X422" s="60"/>
      <c r="Y422" s="60"/>
      <c r="Z422" s="60"/>
      <c r="AA422" s="61">
        <f>SUM(X422:Z422)</f>
        <v>0</v>
      </c>
      <c r="AB422" s="60"/>
      <c r="AC422" s="60"/>
      <c r="AD422" s="60"/>
      <c r="AE422" s="61">
        <f>SUM(AB422:AD422)</f>
        <v>0</v>
      </c>
      <c r="AF422" s="62">
        <f t="shared" si="92"/>
        <v>10</v>
      </c>
    </row>
    <row r="423" spans="1:32" hidden="1" x14ac:dyDescent="0.35">
      <c r="A423" s="111" t="s">
        <v>376</v>
      </c>
      <c r="C423" s="63" t="s">
        <v>227</v>
      </c>
      <c r="D423" s="63">
        <v>3</v>
      </c>
      <c r="E423" s="63"/>
      <c r="F423" s="63"/>
      <c r="G423" s="61">
        <f>SUM(D423:F423)</f>
        <v>3</v>
      </c>
      <c r="H423" s="63"/>
      <c r="I423" s="63"/>
      <c r="J423" s="63"/>
      <c r="K423" s="61">
        <f>SUM(H423:J423)</f>
        <v>0</v>
      </c>
      <c r="L423" s="63"/>
      <c r="M423" s="63"/>
      <c r="N423" s="63"/>
      <c r="O423" s="61">
        <f>SUM(L423:N423)</f>
        <v>0</v>
      </c>
      <c r="P423" s="63"/>
      <c r="Q423" s="63"/>
      <c r="R423" s="63"/>
      <c r="S423" s="61">
        <f>SUM(P423:R423)</f>
        <v>0</v>
      </c>
      <c r="T423" s="63"/>
      <c r="U423" s="63"/>
      <c r="V423" s="63"/>
      <c r="W423" s="61">
        <f>SUM(T423:V423)</f>
        <v>0</v>
      </c>
      <c r="X423" s="63"/>
      <c r="Y423" s="63"/>
      <c r="Z423" s="63"/>
      <c r="AA423" s="61">
        <f>SUM(X423:Z423)</f>
        <v>0</v>
      </c>
      <c r="AB423" s="63"/>
      <c r="AC423" s="63"/>
      <c r="AD423" s="63"/>
      <c r="AE423" s="61">
        <f>SUM(AB423:AD423)</f>
        <v>0</v>
      </c>
      <c r="AF423" s="64">
        <f t="shared" si="92"/>
        <v>3</v>
      </c>
    </row>
    <row r="424" spans="1:32" hidden="1" x14ac:dyDescent="0.35">
      <c r="A424" s="111"/>
      <c r="C424" s="60" t="s">
        <v>228</v>
      </c>
      <c r="D424" s="60">
        <v>7</v>
      </c>
      <c r="E424" s="60"/>
      <c r="F424" s="60"/>
      <c r="G424" s="61">
        <f>SUM(D424:F424)</f>
        <v>7</v>
      </c>
      <c r="H424" s="60"/>
      <c r="I424" s="60"/>
      <c r="J424" s="60"/>
      <c r="K424" s="61">
        <f>SUM(H424:J424)</f>
        <v>0</v>
      </c>
      <c r="L424" s="60">
        <v>2</v>
      </c>
      <c r="M424" s="60"/>
      <c r="N424" s="60"/>
      <c r="O424" s="61">
        <f>SUM(L424:N424)</f>
        <v>2</v>
      </c>
      <c r="P424" s="60"/>
      <c r="Q424" s="60"/>
      <c r="R424" s="60"/>
      <c r="S424" s="61">
        <f>SUM(P424:R424)</f>
        <v>0</v>
      </c>
      <c r="T424" s="60"/>
      <c r="U424" s="60"/>
      <c r="V424" s="60"/>
      <c r="W424" s="61">
        <f>SUM(T424:V424)</f>
        <v>0</v>
      </c>
      <c r="X424" s="60"/>
      <c r="Y424" s="60"/>
      <c r="Z424" s="60"/>
      <c r="AA424" s="61">
        <f>SUM(X424:Z424)</f>
        <v>0</v>
      </c>
      <c r="AB424" s="60"/>
      <c r="AC424" s="60"/>
      <c r="AD424" s="60"/>
      <c r="AE424" s="61">
        <f>SUM(AB424:AD424)</f>
        <v>0</v>
      </c>
      <c r="AF424" s="65">
        <f t="shared" ref="AF424:AF455" si="101">SUM(G424,K424,O424,S424,W424,AA424,AE424)</f>
        <v>9</v>
      </c>
    </row>
    <row r="425" spans="1:32" hidden="1" x14ac:dyDescent="0.35">
      <c r="A425" s="111"/>
      <c r="C425" s="63" t="s">
        <v>235</v>
      </c>
      <c r="D425" s="63">
        <v>8</v>
      </c>
      <c r="E425" s="63"/>
      <c r="F425" s="63"/>
      <c r="G425" s="61">
        <f>SUM(D425:F425)</f>
        <v>8</v>
      </c>
      <c r="H425" s="63"/>
      <c r="I425" s="63"/>
      <c r="J425" s="63"/>
      <c r="K425" s="61">
        <f>SUM(H425:J425)</f>
        <v>0</v>
      </c>
      <c r="L425" s="63"/>
      <c r="M425" s="63"/>
      <c r="N425" s="63"/>
      <c r="O425" s="61">
        <f>SUM(L425:N425)</f>
        <v>0</v>
      </c>
      <c r="P425" s="63"/>
      <c r="Q425" s="63"/>
      <c r="R425" s="63"/>
      <c r="S425" s="61">
        <f>SUM(P425:R425)</f>
        <v>0</v>
      </c>
      <c r="T425" s="63"/>
      <c r="U425" s="63"/>
      <c r="V425" s="63"/>
      <c r="W425" s="61">
        <f>SUM(T425:V425)</f>
        <v>0</v>
      </c>
      <c r="X425" s="63"/>
      <c r="Y425" s="63"/>
      <c r="Z425" s="63"/>
      <c r="AA425" s="61">
        <f>SUM(X425:Z425)</f>
        <v>0</v>
      </c>
      <c r="AB425" s="63"/>
      <c r="AC425" s="63"/>
      <c r="AD425" s="63"/>
      <c r="AE425" s="61">
        <f>SUM(AB425:AD425)</f>
        <v>0</v>
      </c>
      <c r="AF425" s="63">
        <f t="shared" si="101"/>
        <v>8</v>
      </c>
    </row>
    <row r="426" spans="1:32" x14ac:dyDescent="0.35">
      <c r="A426" s="66" t="s">
        <v>375</v>
      </c>
      <c r="B426" s="67">
        <v>8</v>
      </c>
      <c r="C426" s="66"/>
      <c r="D426" s="66">
        <f t="shared" ref="D426:AE426" si="102">SUM(D422:D425)</f>
        <v>26</v>
      </c>
      <c r="E426" s="66">
        <f t="shared" si="102"/>
        <v>0</v>
      </c>
      <c r="F426" s="66">
        <f t="shared" si="102"/>
        <v>0</v>
      </c>
      <c r="G426" s="61">
        <f t="shared" si="102"/>
        <v>26</v>
      </c>
      <c r="H426" s="66">
        <f t="shared" si="102"/>
        <v>0</v>
      </c>
      <c r="I426" s="66">
        <f t="shared" si="102"/>
        <v>0</v>
      </c>
      <c r="J426" s="66">
        <f t="shared" si="102"/>
        <v>0</v>
      </c>
      <c r="K426" s="61">
        <f t="shared" si="102"/>
        <v>0</v>
      </c>
      <c r="L426" s="66">
        <f t="shared" si="102"/>
        <v>4</v>
      </c>
      <c r="M426" s="66">
        <f t="shared" si="102"/>
        <v>0</v>
      </c>
      <c r="N426" s="66">
        <f t="shared" si="102"/>
        <v>0</v>
      </c>
      <c r="O426" s="61">
        <f t="shared" si="102"/>
        <v>4</v>
      </c>
      <c r="P426" s="66">
        <f t="shared" si="102"/>
        <v>0</v>
      </c>
      <c r="Q426" s="66">
        <f t="shared" si="102"/>
        <v>0</v>
      </c>
      <c r="R426" s="66">
        <f t="shared" si="102"/>
        <v>0</v>
      </c>
      <c r="S426" s="61">
        <f t="shared" si="102"/>
        <v>0</v>
      </c>
      <c r="T426" s="66">
        <f t="shared" si="102"/>
        <v>0</v>
      </c>
      <c r="U426" s="66">
        <f t="shared" si="102"/>
        <v>0</v>
      </c>
      <c r="V426" s="66">
        <f t="shared" si="102"/>
        <v>0</v>
      </c>
      <c r="W426" s="61">
        <f t="shared" si="102"/>
        <v>0</v>
      </c>
      <c r="X426" s="66">
        <f t="shared" si="102"/>
        <v>0</v>
      </c>
      <c r="Y426" s="66">
        <f t="shared" si="102"/>
        <v>0</v>
      </c>
      <c r="Z426" s="66">
        <f t="shared" si="102"/>
        <v>0</v>
      </c>
      <c r="AA426" s="61">
        <f t="shared" si="102"/>
        <v>0</v>
      </c>
      <c r="AB426" s="66">
        <f t="shared" si="102"/>
        <v>0</v>
      </c>
      <c r="AC426" s="66">
        <f t="shared" si="102"/>
        <v>0</v>
      </c>
      <c r="AD426" s="66">
        <f t="shared" si="102"/>
        <v>0</v>
      </c>
      <c r="AE426" s="61">
        <f t="shared" si="102"/>
        <v>0</v>
      </c>
      <c r="AF426" s="68">
        <f t="shared" si="101"/>
        <v>30</v>
      </c>
    </row>
    <row r="427" spans="1:32" hidden="1" x14ac:dyDescent="0.35">
      <c r="A427" s="59" t="s">
        <v>377</v>
      </c>
      <c r="B427" s="54">
        <v>23</v>
      </c>
      <c r="C427" s="60" t="s">
        <v>225</v>
      </c>
      <c r="D427" s="60">
        <v>2</v>
      </c>
      <c r="E427" s="60"/>
      <c r="F427" s="60"/>
      <c r="G427" s="61">
        <f>SUM(D427:F427)</f>
        <v>2</v>
      </c>
      <c r="H427" s="60"/>
      <c r="I427" s="60"/>
      <c r="J427" s="60"/>
      <c r="K427" s="61">
        <f>SUM(H427:J427)</f>
        <v>0</v>
      </c>
      <c r="L427" s="60">
        <v>2</v>
      </c>
      <c r="M427" s="60"/>
      <c r="N427" s="60"/>
      <c r="O427" s="61">
        <f>SUM(L427:N427)</f>
        <v>2</v>
      </c>
      <c r="P427" s="60"/>
      <c r="Q427" s="60"/>
      <c r="R427" s="60"/>
      <c r="S427" s="61">
        <f>SUM(P427:R427)</f>
        <v>0</v>
      </c>
      <c r="T427" s="60"/>
      <c r="U427" s="60"/>
      <c r="V427" s="60"/>
      <c r="W427" s="61">
        <f>SUM(T427:V427)</f>
        <v>0</v>
      </c>
      <c r="X427" s="60"/>
      <c r="Y427" s="60"/>
      <c r="Z427" s="60"/>
      <c r="AA427" s="61">
        <f>SUM(X427:Z427)</f>
        <v>0</v>
      </c>
      <c r="AB427" s="60"/>
      <c r="AC427" s="60"/>
      <c r="AD427" s="60"/>
      <c r="AE427" s="61">
        <f>SUM(AB427:AD427)</f>
        <v>0</v>
      </c>
      <c r="AF427" s="62">
        <f t="shared" si="101"/>
        <v>4</v>
      </c>
    </row>
    <row r="428" spans="1:32" hidden="1" x14ac:dyDescent="0.35">
      <c r="A428" s="111" t="s">
        <v>245</v>
      </c>
      <c r="C428" s="63" t="s">
        <v>227</v>
      </c>
      <c r="D428" s="63">
        <v>2</v>
      </c>
      <c r="E428" s="63"/>
      <c r="F428" s="63"/>
      <c r="G428" s="61">
        <f>SUM(D428:F428)</f>
        <v>2</v>
      </c>
      <c r="H428" s="63"/>
      <c r="I428" s="63"/>
      <c r="J428" s="63"/>
      <c r="K428" s="61">
        <f>SUM(H428:J428)</f>
        <v>0</v>
      </c>
      <c r="L428" s="63"/>
      <c r="M428" s="63"/>
      <c r="N428" s="63"/>
      <c r="O428" s="61">
        <f>SUM(L428:N428)</f>
        <v>0</v>
      </c>
      <c r="P428" s="63"/>
      <c r="Q428" s="63"/>
      <c r="R428" s="63"/>
      <c r="S428" s="61">
        <f>SUM(P428:R428)</f>
        <v>0</v>
      </c>
      <c r="T428" s="63"/>
      <c r="U428" s="63"/>
      <c r="V428" s="63"/>
      <c r="W428" s="61">
        <f>SUM(T428:V428)</f>
        <v>0</v>
      </c>
      <c r="X428" s="63"/>
      <c r="Y428" s="63"/>
      <c r="Z428" s="63"/>
      <c r="AA428" s="61">
        <f>SUM(X428:Z428)</f>
        <v>0</v>
      </c>
      <c r="AB428" s="63"/>
      <c r="AC428" s="63"/>
      <c r="AD428" s="63"/>
      <c r="AE428" s="61">
        <f>SUM(AB428:AD428)</f>
        <v>0</v>
      </c>
      <c r="AF428" s="64">
        <f t="shared" si="101"/>
        <v>2</v>
      </c>
    </row>
    <row r="429" spans="1:32" hidden="1" x14ac:dyDescent="0.35">
      <c r="A429" s="111"/>
      <c r="C429" s="60" t="s">
        <v>228</v>
      </c>
      <c r="D429" s="60">
        <v>1</v>
      </c>
      <c r="E429" s="60"/>
      <c r="F429" s="60"/>
      <c r="G429" s="61">
        <f>SUM(D429:F429)</f>
        <v>1</v>
      </c>
      <c r="H429" s="60"/>
      <c r="I429" s="60"/>
      <c r="J429" s="60"/>
      <c r="K429" s="61">
        <f>SUM(H429:J429)</f>
        <v>0</v>
      </c>
      <c r="L429" s="60">
        <v>1</v>
      </c>
      <c r="M429" s="60"/>
      <c r="N429" s="60"/>
      <c r="O429" s="61">
        <f>SUM(L429:N429)</f>
        <v>1</v>
      </c>
      <c r="P429" s="60"/>
      <c r="Q429" s="60"/>
      <c r="R429" s="60"/>
      <c r="S429" s="61">
        <f>SUM(P429:R429)</f>
        <v>0</v>
      </c>
      <c r="T429" s="60"/>
      <c r="U429" s="60"/>
      <c r="V429" s="60"/>
      <c r="W429" s="61">
        <f>SUM(T429:V429)</f>
        <v>0</v>
      </c>
      <c r="X429" s="60"/>
      <c r="Y429" s="60"/>
      <c r="Z429" s="60"/>
      <c r="AA429" s="61">
        <f>SUM(X429:Z429)</f>
        <v>0</v>
      </c>
      <c r="AB429" s="60"/>
      <c r="AC429" s="60"/>
      <c r="AD429" s="60"/>
      <c r="AE429" s="61">
        <f>SUM(AB429:AD429)</f>
        <v>0</v>
      </c>
      <c r="AF429" s="65">
        <f t="shared" si="101"/>
        <v>2</v>
      </c>
    </row>
    <row r="430" spans="1:32" hidden="1" x14ac:dyDescent="0.35">
      <c r="A430" s="111"/>
      <c r="C430" s="63" t="s">
        <v>235</v>
      </c>
      <c r="D430" s="63">
        <v>4</v>
      </c>
      <c r="E430" s="63"/>
      <c r="F430" s="63"/>
      <c r="G430" s="61">
        <f>SUM(D430:F430)</f>
        <v>4</v>
      </c>
      <c r="H430" s="63"/>
      <c r="I430" s="63"/>
      <c r="J430" s="63"/>
      <c r="K430" s="61">
        <f>SUM(H430:J430)</f>
        <v>0</v>
      </c>
      <c r="L430" s="63"/>
      <c r="M430" s="63"/>
      <c r="N430" s="63"/>
      <c r="O430" s="61">
        <f>SUM(L430:N430)</f>
        <v>0</v>
      </c>
      <c r="P430" s="63"/>
      <c r="Q430" s="63"/>
      <c r="R430" s="63"/>
      <c r="S430" s="61">
        <f>SUM(P430:R430)</f>
        <v>0</v>
      </c>
      <c r="T430" s="63"/>
      <c r="U430" s="63"/>
      <c r="V430" s="63"/>
      <c r="W430" s="61">
        <f>SUM(T430:V430)</f>
        <v>0</v>
      </c>
      <c r="X430" s="63"/>
      <c r="Y430" s="63"/>
      <c r="Z430" s="63"/>
      <c r="AA430" s="61">
        <f>SUM(X430:Z430)</f>
        <v>0</v>
      </c>
      <c r="AB430" s="63"/>
      <c r="AC430" s="63"/>
      <c r="AD430" s="63"/>
      <c r="AE430" s="61">
        <f>SUM(AB430:AD430)</f>
        <v>0</v>
      </c>
      <c r="AF430" s="63">
        <f t="shared" si="101"/>
        <v>4</v>
      </c>
    </row>
    <row r="431" spans="1:32" x14ac:dyDescent="0.35">
      <c r="A431" s="66" t="s">
        <v>377</v>
      </c>
      <c r="B431" s="67">
        <v>23</v>
      </c>
      <c r="C431" s="66"/>
      <c r="D431" s="66">
        <f t="shared" ref="D431:AE431" si="103">SUM(D427:D430)</f>
        <v>9</v>
      </c>
      <c r="E431" s="66">
        <f t="shared" si="103"/>
        <v>0</v>
      </c>
      <c r="F431" s="66">
        <f t="shared" si="103"/>
        <v>0</v>
      </c>
      <c r="G431" s="61">
        <f t="shared" si="103"/>
        <v>9</v>
      </c>
      <c r="H431" s="66">
        <f t="shared" si="103"/>
        <v>0</v>
      </c>
      <c r="I431" s="66">
        <f t="shared" si="103"/>
        <v>0</v>
      </c>
      <c r="J431" s="66">
        <f t="shared" si="103"/>
        <v>0</v>
      </c>
      <c r="K431" s="61">
        <f t="shared" si="103"/>
        <v>0</v>
      </c>
      <c r="L431" s="66">
        <f t="shared" si="103"/>
        <v>3</v>
      </c>
      <c r="M431" s="66">
        <f t="shared" si="103"/>
        <v>0</v>
      </c>
      <c r="N431" s="66">
        <f t="shared" si="103"/>
        <v>0</v>
      </c>
      <c r="O431" s="61">
        <f t="shared" si="103"/>
        <v>3</v>
      </c>
      <c r="P431" s="66">
        <f t="shared" si="103"/>
        <v>0</v>
      </c>
      <c r="Q431" s="66">
        <f t="shared" si="103"/>
        <v>0</v>
      </c>
      <c r="R431" s="66">
        <f t="shared" si="103"/>
        <v>0</v>
      </c>
      <c r="S431" s="61">
        <f t="shared" si="103"/>
        <v>0</v>
      </c>
      <c r="T431" s="66">
        <f t="shared" si="103"/>
        <v>0</v>
      </c>
      <c r="U431" s="66">
        <f t="shared" si="103"/>
        <v>0</v>
      </c>
      <c r="V431" s="66">
        <f t="shared" si="103"/>
        <v>0</v>
      </c>
      <c r="W431" s="61">
        <f t="shared" si="103"/>
        <v>0</v>
      </c>
      <c r="X431" s="66">
        <f t="shared" si="103"/>
        <v>0</v>
      </c>
      <c r="Y431" s="66">
        <f t="shared" si="103"/>
        <v>0</v>
      </c>
      <c r="Z431" s="66">
        <f t="shared" si="103"/>
        <v>0</v>
      </c>
      <c r="AA431" s="61">
        <f t="shared" si="103"/>
        <v>0</v>
      </c>
      <c r="AB431" s="66">
        <f t="shared" si="103"/>
        <v>0</v>
      </c>
      <c r="AC431" s="66">
        <f t="shared" si="103"/>
        <v>0</v>
      </c>
      <c r="AD431" s="66">
        <f t="shared" si="103"/>
        <v>0</v>
      </c>
      <c r="AE431" s="61">
        <f t="shared" si="103"/>
        <v>0</v>
      </c>
      <c r="AF431" s="68">
        <f t="shared" si="101"/>
        <v>12</v>
      </c>
    </row>
    <row r="432" spans="1:32" hidden="1" x14ac:dyDescent="0.35">
      <c r="A432" s="59" t="s">
        <v>378</v>
      </c>
      <c r="B432" s="54">
        <v>7</v>
      </c>
      <c r="C432" s="60" t="s">
        <v>225</v>
      </c>
      <c r="D432" s="60"/>
      <c r="E432" s="60"/>
      <c r="F432" s="60"/>
      <c r="G432" s="61">
        <f>SUM(D432:F432)</f>
        <v>0</v>
      </c>
      <c r="H432" s="60"/>
      <c r="I432" s="60"/>
      <c r="J432" s="60"/>
      <c r="K432" s="61">
        <f>SUM(H432:J432)</f>
        <v>0</v>
      </c>
      <c r="L432" s="60"/>
      <c r="M432" s="60"/>
      <c r="N432" s="60"/>
      <c r="O432" s="61">
        <f>SUM(L432:N432)</f>
        <v>0</v>
      </c>
      <c r="P432" s="60"/>
      <c r="Q432" s="60"/>
      <c r="R432" s="60"/>
      <c r="S432" s="61">
        <f>SUM(P432:R432)</f>
        <v>0</v>
      </c>
      <c r="T432" s="60"/>
      <c r="U432" s="60"/>
      <c r="V432" s="60"/>
      <c r="W432" s="61">
        <f>SUM(T432:V432)</f>
        <v>0</v>
      </c>
      <c r="X432" s="60"/>
      <c r="Y432" s="60"/>
      <c r="Z432" s="60"/>
      <c r="AA432" s="61">
        <f>SUM(X432:Z432)</f>
        <v>0</v>
      </c>
      <c r="AB432" s="60"/>
      <c r="AC432" s="60"/>
      <c r="AD432" s="60"/>
      <c r="AE432" s="61">
        <f>SUM(AB432:AD432)</f>
        <v>0</v>
      </c>
      <c r="AF432" s="62">
        <f t="shared" si="101"/>
        <v>0</v>
      </c>
    </row>
    <row r="433" spans="1:32" hidden="1" x14ac:dyDescent="0.35">
      <c r="A433" s="111" t="s">
        <v>284</v>
      </c>
      <c r="C433" s="63" t="s">
        <v>227</v>
      </c>
      <c r="D433" s="63"/>
      <c r="E433" s="63"/>
      <c r="F433" s="63"/>
      <c r="G433" s="61">
        <f>SUM(D433:F433)</f>
        <v>0</v>
      </c>
      <c r="H433" s="63"/>
      <c r="I433" s="63"/>
      <c r="J433" s="63"/>
      <c r="K433" s="61">
        <f>SUM(H433:J433)</f>
        <v>0</v>
      </c>
      <c r="L433" s="63"/>
      <c r="M433" s="63"/>
      <c r="N433" s="63"/>
      <c r="O433" s="61">
        <f>SUM(L433:N433)</f>
        <v>0</v>
      </c>
      <c r="P433" s="63"/>
      <c r="Q433" s="63"/>
      <c r="R433" s="63"/>
      <c r="S433" s="61">
        <f>SUM(P433:R433)</f>
        <v>0</v>
      </c>
      <c r="T433" s="63"/>
      <c r="U433" s="63"/>
      <c r="V433" s="63"/>
      <c r="W433" s="61">
        <f>SUM(T433:V433)</f>
        <v>0</v>
      </c>
      <c r="X433" s="63"/>
      <c r="Y433" s="63"/>
      <c r="Z433" s="63"/>
      <c r="AA433" s="61">
        <f>SUM(X433:Z433)</f>
        <v>0</v>
      </c>
      <c r="AB433" s="63"/>
      <c r="AC433" s="63"/>
      <c r="AD433" s="63"/>
      <c r="AE433" s="61">
        <f>SUM(AB433:AD433)</f>
        <v>0</v>
      </c>
      <c r="AF433" s="64">
        <f t="shared" si="101"/>
        <v>0</v>
      </c>
    </row>
    <row r="434" spans="1:32" hidden="1" x14ac:dyDescent="0.35">
      <c r="A434" s="111"/>
      <c r="C434" s="60" t="s">
        <v>228</v>
      </c>
      <c r="D434" s="60"/>
      <c r="E434" s="60"/>
      <c r="F434" s="60"/>
      <c r="G434" s="61">
        <f>SUM(D434:F434)</f>
        <v>0</v>
      </c>
      <c r="H434" s="60"/>
      <c r="I434" s="60"/>
      <c r="J434" s="60"/>
      <c r="K434" s="61">
        <f>SUM(H434:J434)</f>
        <v>0</v>
      </c>
      <c r="L434" s="60"/>
      <c r="M434" s="60"/>
      <c r="N434" s="60"/>
      <c r="O434" s="61">
        <f>SUM(L434:N434)</f>
        <v>0</v>
      </c>
      <c r="P434" s="60"/>
      <c r="Q434" s="60"/>
      <c r="R434" s="60"/>
      <c r="S434" s="61">
        <f>SUM(P434:R434)</f>
        <v>0</v>
      </c>
      <c r="T434" s="60"/>
      <c r="U434" s="60"/>
      <c r="V434" s="60"/>
      <c r="W434" s="61">
        <f>SUM(T434:V434)</f>
        <v>0</v>
      </c>
      <c r="X434" s="60"/>
      <c r="Y434" s="60"/>
      <c r="Z434" s="60"/>
      <c r="AA434" s="61">
        <f>SUM(X434:Z434)</f>
        <v>0</v>
      </c>
      <c r="AB434" s="60"/>
      <c r="AC434" s="60"/>
      <c r="AD434" s="60"/>
      <c r="AE434" s="61">
        <f>SUM(AB434:AD434)</f>
        <v>0</v>
      </c>
      <c r="AF434" s="65">
        <f t="shared" si="101"/>
        <v>0</v>
      </c>
    </row>
    <row r="435" spans="1:32" hidden="1" x14ac:dyDescent="0.35">
      <c r="A435" s="111"/>
      <c r="C435" s="63" t="s">
        <v>235</v>
      </c>
      <c r="D435" s="63"/>
      <c r="E435" s="63"/>
      <c r="F435" s="63"/>
      <c r="G435" s="61">
        <f>SUM(D435:F435)</f>
        <v>0</v>
      </c>
      <c r="H435" s="63"/>
      <c r="I435" s="63"/>
      <c r="J435" s="63"/>
      <c r="K435" s="61">
        <f>SUM(H435:J435)</f>
        <v>0</v>
      </c>
      <c r="L435" s="63">
        <v>1</v>
      </c>
      <c r="M435" s="63"/>
      <c r="N435" s="63"/>
      <c r="O435" s="61">
        <f>SUM(L435:N435)</f>
        <v>1</v>
      </c>
      <c r="P435" s="63"/>
      <c r="Q435" s="63"/>
      <c r="R435" s="63"/>
      <c r="S435" s="61">
        <f>SUM(P435:R435)</f>
        <v>0</v>
      </c>
      <c r="T435" s="63"/>
      <c r="U435" s="63"/>
      <c r="V435" s="63"/>
      <c r="W435" s="61">
        <f>SUM(T435:V435)</f>
        <v>0</v>
      </c>
      <c r="X435" s="63"/>
      <c r="Y435" s="63"/>
      <c r="Z435" s="63"/>
      <c r="AA435" s="61">
        <f>SUM(X435:Z435)</f>
        <v>0</v>
      </c>
      <c r="AB435" s="63"/>
      <c r="AC435" s="63"/>
      <c r="AD435" s="63"/>
      <c r="AE435" s="61">
        <f>SUM(AB435:AD435)</f>
        <v>0</v>
      </c>
      <c r="AF435" s="63">
        <f t="shared" si="101"/>
        <v>1</v>
      </c>
    </row>
    <row r="436" spans="1:32" x14ac:dyDescent="0.35">
      <c r="A436" s="66" t="s">
        <v>378</v>
      </c>
      <c r="B436" s="67">
        <v>7</v>
      </c>
      <c r="C436" s="66"/>
      <c r="D436" s="66">
        <f t="shared" ref="D436:AE436" si="104">SUM(D432:D435)</f>
        <v>0</v>
      </c>
      <c r="E436" s="66">
        <f t="shared" si="104"/>
        <v>0</v>
      </c>
      <c r="F436" s="66">
        <f t="shared" si="104"/>
        <v>0</v>
      </c>
      <c r="G436" s="61">
        <f t="shared" si="104"/>
        <v>0</v>
      </c>
      <c r="H436" s="66">
        <f t="shared" si="104"/>
        <v>0</v>
      </c>
      <c r="I436" s="66">
        <f t="shared" si="104"/>
        <v>0</v>
      </c>
      <c r="J436" s="66">
        <f t="shared" si="104"/>
        <v>0</v>
      </c>
      <c r="K436" s="61">
        <f t="shared" si="104"/>
        <v>0</v>
      </c>
      <c r="L436" s="66">
        <f t="shared" si="104"/>
        <v>1</v>
      </c>
      <c r="M436" s="66">
        <f t="shared" si="104"/>
        <v>0</v>
      </c>
      <c r="N436" s="66">
        <f t="shared" si="104"/>
        <v>0</v>
      </c>
      <c r="O436" s="61">
        <f t="shared" si="104"/>
        <v>1</v>
      </c>
      <c r="P436" s="66">
        <f t="shared" si="104"/>
        <v>0</v>
      </c>
      <c r="Q436" s="66">
        <f t="shared" si="104"/>
        <v>0</v>
      </c>
      <c r="R436" s="66">
        <f t="shared" si="104"/>
        <v>0</v>
      </c>
      <c r="S436" s="61">
        <f t="shared" si="104"/>
        <v>0</v>
      </c>
      <c r="T436" s="66">
        <f t="shared" si="104"/>
        <v>0</v>
      </c>
      <c r="U436" s="66">
        <f t="shared" si="104"/>
        <v>0</v>
      </c>
      <c r="V436" s="66">
        <f t="shared" si="104"/>
        <v>0</v>
      </c>
      <c r="W436" s="61">
        <f t="shared" si="104"/>
        <v>0</v>
      </c>
      <c r="X436" s="66">
        <f t="shared" si="104"/>
        <v>0</v>
      </c>
      <c r="Y436" s="66">
        <f t="shared" si="104"/>
        <v>0</v>
      </c>
      <c r="Z436" s="66">
        <f t="shared" si="104"/>
        <v>0</v>
      </c>
      <c r="AA436" s="61">
        <f t="shared" si="104"/>
        <v>0</v>
      </c>
      <c r="AB436" s="66">
        <f t="shared" si="104"/>
        <v>0</v>
      </c>
      <c r="AC436" s="66">
        <f t="shared" si="104"/>
        <v>0</v>
      </c>
      <c r="AD436" s="66">
        <f t="shared" si="104"/>
        <v>0</v>
      </c>
      <c r="AE436" s="61">
        <f t="shared" si="104"/>
        <v>0</v>
      </c>
      <c r="AF436" s="68">
        <f t="shared" si="101"/>
        <v>1</v>
      </c>
    </row>
    <row r="437" spans="1:32" hidden="1" x14ac:dyDescent="0.35">
      <c r="A437" s="59" t="s">
        <v>379</v>
      </c>
      <c r="B437" s="54">
        <v>23</v>
      </c>
      <c r="C437" s="60" t="s">
        <v>225</v>
      </c>
      <c r="D437" s="60">
        <v>2</v>
      </c>
      <c r="E437" s="60"/>
      <c r="F437" s="60"/>
      <c r="G437" s="61">
        <f>SUM(D437:F437)</f>
        <v>2</v>
      </c>
      <c r="H437" s="60"/>
      <c r="I437" s="60"/>
      <c r="J437" s="60"/>
      <c r="K437" s="61">
        <f>SUM(H437:J437)</f>
        <v>0</v>
      </c>
      <c r="L437" s="60"/>
      <c r="M437" s="60"/>
      <c r="N437" s="60"/>
      <c r="O437" s="61">
        <f>SUM(L437:N437)</f>
        <v>0</v>
      </c>
      <c r="P437" s="60"/>
      <c r="Q437" s="60"/>
      <c r="R437" s="60"/>
      <c r="S437" s="61">
        <f>SUM(P437:R437)</f>
        <v>0</v>
      </c>
      <c r="T437" s="60"/>
      <c r="U437" s="60"/>
      <c r="V437" s="60"/>
      <c r="W437" s="61">
        <f>SUM(T437:V437)</f>
        <v>0</v>
      </c>
      <c r="X437" s="60"/>
      <c r="Y437" s="60"/>
      <c r="Z437" s="60"/>
      <c r="AA437" s="61">
        <f>SUM(X437:Z437)</f>
        <v>0</v>
      </c>
      <c r="AB437" s="60"/>
      <c r="AC437" s="60"/>
      <c r="AD437" s="60"/>
      <c r="AE437" s="61">
        <f>SUM(AB437:AD437)</f>
        <v>0</v>
      </c>
      <c r="AF437" s="62">
        <f t="shared" si="101"/>
        <v>2</v>
      </c>
    </row>
    <row r="438" spans="1:32" hidden="1" x14ac:dyDescent="0.35">
      <c r="A438" s="111" t="s">
        <v>380</v>
      </c>
      <c r="C438" s="63" t="s">
        <v>227</v>
      </c>
      <c r="D438" s="63">
        <v>3</v>
      </c>
      <c r="E438" s="63"/>
      <c r="F438" s="63"/>
      <c r="G438" s="61">
        <f>SUM(D438:F438)</f>
        <v>3</v>
      </c>
      <c r="H438" s="63"/>
      <c r="I438" s="63"/>
      <c r="J438" s="63"/>
      <c r="K438" s="61">
        <f>SUM(H438:J438)</f>
        <v>0</v>
      </c>
      <c r="L438" s="63"/>
      <c r="M438" s="63"/>
      <c r="N438" s="63"/>
      <c r="O438" s="61">
        <f>SUM(L438:N438)</f>
        <v>0</v>
      </c>
      <c r="P438" s="63"/>
      <c r="Q438" s="63"/>
      <c r="R438" s="63"/>
      <c r="S438" s="61">
        <f>SUM(P438:R438)</f>
        <v>0</v>
      </c>
      <c r="T438" s="63"/>
      <c r="U438" s="63"/>
      <c r="V438" s="63"/>
      <c r="W438" s="61">
        <f>SUM(T438:V438)</f>
        <v>0</v>
      </c>
      <c r="X438" s="63"/>
      <c r="Y438" s="63"/>
      <c r="Z438" s="63"/>
      <c r="AA438" s="61">
        <f>SUM(X438:Z438)</f>
        <v>0</v>
      </c>
      <c r="AB438" s="63"/>
      <c r="AC438" s="63"/>
      <c r="AD438" s="63"/>
      <c r="AE438" s="61">
        <f>SUM(AB438:AD438)</f>
        <v>0</v>
      </c>
      <c r="AF438" s="64">
        <f t="shared" si="101"/>
        <v>3</v>
      </c>
    </row>
    <row r="439" spans="1:32" hidden="1" x14ac:dyDescent="0.35">
      <c r="A439" s="111"/>
      <c r="C439" s="60" t="s">
        <v>228</v>
      </c>
      <c r="D439" s="60">
        <v>4</v>
      </c>
      <c r="E439" s="60"/>
      <c r="F439" s="60"/>
      <c r="G439" s="61">
        <f>SUM(D439:F439)</f>
        <v>4</v>
      </c>
      <c r="H439" s="60"/>
      <c r="I439" s="60"/>
      <c r="J439" s="60"/>
      <c r="K439" s="61">
        <f>SUM(H439:J439)</f>
        <v>0</v>
      </c>
      <c r="L439" s="60"/>
      <c r="M439" s="60"/>
      <c r="N439" s="60"/>
      <c r="O439" s="61">
        <f>SUM(L439:N439)</f>
        <v>0</v>
      </c>
      <c r="P439" s="60"/>
      <c r="Q439" s="60"/>
      <c r="R439" s="60"/>
      <c r="S439" s="61">
        <f>SUM(P439:R439)</f>
        <v>0</v>
      </c>
      <c r="T439" s="60"/>
      <c r="U439" s="60"/>
      <c r="V439" s="60"/>
      <c r="W439" s="61">
        <f>SUM(T439:V439)</f>
        <v>0</v>
      </c>
      <c r="X439" s="60"/>
      <c r="Y439" s="60"/>
      <c r="Z439" s="60"/>
      <c r="AA439" s="61">
        <f>SUM(X439:Z439)</f>
        <v>0</v>
      </c>
      <c r="AB439" s="60"/>
      <c r="AC439" s="60"/>
      <c r="AD439" s="60"/>
      <c r="AE439" s="61">
        <f>SUM(AB439:AD439)</f>
        <v>0</v>
      </c>
      <c r="AF439" s="65">
        <f t="shared" si="101"/>
        <v>4</v>
      </c>
    </row>
    <row r="440" spans="1:32" hidden="1" x14ac:dyDescent="0.35">
      <c r="A440" s="111"/>
      <c r="C440" s="63" t="s">
        <v>235</v>
      </c>
      <c r="D440" s="63">
        <v>6</v>
      </c>
      <c r="E440" s="63"/>
      <c r="F440" s="63"/>
      <c r="G440" s="61">
        <f>SUM(D440:F440)</f>
        <v>6</v>
      </c>
      <c r="H440" s="63"/>
      <c r="I440" s="63"/>
      <c r="J440" s="63"/>
      <c r="K440" s="61">
        <f>SUM(H440:J440)</f>
        <v>0</v>
      </c>
      <c r="L440" s="63"/>
      <c r="M440" s="63"/>
      <c r="N440" s="63"/>
      <c r="O440" s="61">
        <f>SUM(L440:N440)</f>
        <v>0</v>
      </c>
      <c r="P440" s="63"/>
      <c r="Q440" s="63"/>
      <c r="R440" s="63"/>
      <c r="S440" s="61">
        <f>SUM(P440:R440)</f>
        <v>0</v>
      </c>
      <c r="T440" s="63"/>
      <c r="U440" s="63"/>
      <c r="V440" s="63"/>
      <c r="W440" s="61">
        <f>SUM(T440:V440)</f>
        <v>0</v>
      </c>
      <c r="X440" s="63"/>
      <c r="Y440" s="63"/>
      <c r="Z440" s="63"/>
      <c r="AA440" s="61">
        <f>SUM(X440:Z440)</f>
        <v>0</v>
      </c>
      <c r="AB440" s="63"/>
      <c r="AC440" s="63"/>
      <c r="AD440" s="63"/>
      <c r="AE440" s="61">
        <f>SUM(AB440:AD440)</f>
        <v>0</v>
      </c>
      <c r="AF440" s="63">
        <f t="shared" si="101"/>
        <v>6</v>
      </c>
    </row>
    <row r="441" spans="1:32" x14ac:dyDescent="0.35">
      <c r="A441" s="66" t="s">
        <v>379</v>
      </c>
      <c r="B441" s="67">
        <v>23</v>
      </c>
      <c r="C441" s="66"/>
      <c r="D441" s="66">
        <f t="shared" ref="D441:AE441" si="105">SUM(D437:D440)</f>
        <v>15</v>
      </c>
      <c r="E441" s="66">
        <f t="shared" si="105"/>
        <v>0</v>
      </c>
      <c r="F441" s="66">
        <f t="shared" si="105"/>
        <v>0</v>
      </c>
      <c r="G441" s="61">
        <f t="shared" si="105"/>
        <v>15</v>
      </c>
      <c r="H441" s="66">
        <f t="shared" si="105"/>
        <v>0</v>
      </c>
      <c r="I441" s="66">
        <f t="shared" si="105"/>
        <v>0</v>
      </c>
      <c r="J441" s="66">
        <f t="shared" si="105"/>
        <v>0</v>
      </c>
      <c r="K441" s="61">
        <f t="shared" si="105"/>
        <v>0</v>
      </c>
      <c r="L441" s="66">
        <f t="shared" si="105"/>
        <v>0</v>
      </c>
      <c r="M441" s="66">
        <f t="shared" si="105"/>
        <v>0</v>
      </c>
      <c r="N441" s="66">
        <f t="shared" si="105"/>
        <v>0</v>
      </c>
      <c r="O441" s="61">
        <f t="shared" si="105"/>
        <v>0</v>
      </c>
      <c r="P441" s="66">
        <f t="shared" si="105"/>
        <v>0</v>
      </c>
      <c r="Q441" s="66">
        <f t="shared" si="105"/>
        <v>0</v>
      </c>
      <c r="R441" s="66">
        <f t="shared" si="105"/>
        <v>0</v>
      </c>
      <c r="S441" s="61">
        <f t="shared" si="105"/>
        <v>0</v>
      </c>
      <c r="T441" s="66">
        <f t="shared" si="105"/>
        <v>0</v>
      </c>
      <c r="U441" s="66">
        <f t="shared" si="105"/>
        <v>0</v>
      </c>
      <c r="V441" s="66">
        <f t="shared" si="105"/>
        <v>0</v>
      </c>
      <c r="W441" s="61">
        <f t="shared" si="105"/>
        <v>0</v>
      </c>
      <c r="X441" s="66">
        <f t="shared" si="105"/>
        <v>0</v>
      </c>
      <c r="Y441" s="66">
        <f t="shared" si="105"/>
        <v>0</v>
      </c>
      <c r="Z441" s="66">
        <f t="shared" si="105"/>
        <v>0</v>
      </c>
      <c r="AA441" s="61">
        <f t="shared" si="105"/>
        <v>0</v>
      </c>
      <c r="AB441" s="66">
        <f t="shared" si="105"/>
        <v>0</v>
      </c>
      <c r="AC441" s="66">
        <f t="shared" si="105"/>
        <v>0</v>
      </c>
      <c r="AD441" s="66">
        <f t="shared" si="105"/>
        <v>0</v>
      </c>
      <c r="AE441" s="61">
        <f t="shared" si="105"/>
        <v>0</v>
      </c>
      <c r="AF441" s="68">
        <f t="shared" si="101"/>
        <v>15</v>
      </c>
    </row>
    <row r="442" spans="1:32" hidden="1" x14ac:dyDescent="0.35">
      <c r="A442" s="59" t="s">
        <v>381</v>
      </c>
      <c r="B442" s="54">
        <v>24</v>
      </c>
      <c r="C442" s="60" t="s">
        <v>225</v>
      </c>
      <c r="D442" s="60"/>
      <c r="E442" s="60"/>
      <c r="F442" s="60"/>
      <c r="G442" s="61">
        <f>SUM(D442:F442)</f>
        <v>0</v>
      </c>
      <c r="H442" s="60"/>
      <c r="I442" s="60"/>
      <c r="J442" s="60"/>
      <c r="K442" s="61">
        <f>SUM(H442:J442)</f>
        <v>0</v>
      </c>
      <c r="L442" s="60"/>
      <c r="M442" s="60"/>
      <c r="N442" s="60"/>
      <c r="O442" s="61">
        <f>SUM(L442:N442)</f>
        <v>0</v>
      </c>
      <c r="P442" s="60"/>
      <c r="Q442" s="60"/>
      <c r="R442" s="60"/>
      <c r="S442" s="61">
        <f>SUM(P442:R442)</f>
        <v>0</v>
      </c>
      <c r="T442" s="60"/>
      <c r="U442" s="60"/>
      <c r="V442" s="60"/>
      <c r="W442" s="61">
        <f>SUM(T442:V442)</f>
        <v>0</v>
      </c>
      <c r="X442" s="60"/>
      <c r="Y442" s="60"/>
      <c r="Z442" s="60"/>
      <c r="AA442" s="61">
        <f>SUM(X442:Z442)</f>
        <v>0</v>
      </c>
      <c r="AB442" s="60"/>
      <c r="AC442" s="60"/>
      <c r="AD442" s="60"/>
      <c r="AE442" s="61">
        <f>SUM(AB442:AD442)</f>
        <v>0</v>
      </c>
      <c r="AF442" s="62">
        <f t="shared" si="101"/>
        <v>0</v>
      </c>
    </row>
    <row r="443" spans="1:32" hidden="1" x14ac:dyDescent="0.35">
      <c r="A443" s="111" t="s">
        <v>318</v>
      </c>
      <c r="C443" s="63" t="s">
        <v>227</v>
      </c>
      <c r="D443" s="63">
        <v>1</v>
      </c>
      <c r="E443" s="63"/>
      <c r="F443" s="63"/>
      <c r="G443" s="61">
        <f>SUM(D443:F443)</f>
        <v>1</v>
      </c>
      <c r="H443" s="63"/>
      <c r="I443" s="63"/>
      <c r="J443" s="63"/>
      <c r="K443" s="61">
        <f>SUM(H443:J443)</f>
        <v>0</v>
      </c>
      <c r="L443" s="63"/>
      <c r="M443" s="63"/>
      <c r="N443" s="63"/>
      <c r="O443" s="61">
        <f>SUM(L443:N443)</f>
        <v>0</v>
      </c>
      <c r="P443" s="63"/>
      <c r="Q443" s="63"/>
      <c r="R443" s="63"/>
      <c r="S443" s="61">
        <f>SUM(P443:R443)</f>
        <v>0</v>
      </c>
      <c r="T443" s="63"/>
      <c r="U443" s="63"/>
      <c r="V443" s="63"/>
      <c r="W443" s="61">
        <f>SUM(T443:V443)</f>
        <v>0</v>
      </c>
      <c r="X443" s="63"/>
      <c r="Y443" s="63"/>
      <c r="Z443" s="63"/>
      <c r="AA443" s="61">
        <f>SUM(X443:Z443)</f>
        <v>0</v>
      </c>
      <c r="AB443" s="63"/>
      <c r="AC443" s="63"/>
      <c r="AD443" s="63"/>
      <c r="AE443" s="61">
        <f>SUM(AB443:AD443)</f>
        <v>0</v>
      </c>
      <c r="AF443" s="64">
        <f t="shared" si="101"/>
        <v>1</v>
      </c>
    </row>
    <row r="444" spans="1:32" hidden="1" x14ac:dyDescent="0.35">
      <c r="A444" s="111"/>
      <c r="C444" s="60" t="s">
        <v>228</v>
      </c>
      <c r="D444" s="60">
        <v>1</v>
      </c>
      <c r="E444" s="60"/>
      <c r="F444" s="60"/>
      <c r="G444" s="61">
        <f>SUM(D444:F444)</f>
        <v>1</v>
      </c>
      <c r="H444" s="60"/>
      <c r="I444" s="60"/>
      <c r="J444" s="60"/>
      <c r="K444" s="61">
        <f>SUM(H444:J444)</f>
        <v>0</v>
      </c>
      <c r="L444" s="60">
        <v>1</v>
      </c>
      <c r="M444" s="60"/>
      <c r="N444" s="60"/>
      <c r="O444" s="61">
        <f>SUM(L444:N444)</f>
        <v>1</v>
      </c>
      <c r="P444" s="60"/>
      <c r="Q444" s="60"/>
      <c r="R444" s="60"/>
      <c r="S444" s="61">
        <f>SUM(P444:R444)</f>
        <v>0</v>
      </c>
      <c r="T444" s="60"/>
      <c r="U444" s="60"/>
      <c r="V444" s="60"/>
      <c r="W444" s="61">
        <f>SUM(T444:V444)</f>
        <v>0</v>
      </c>
      <c r="X444" s="60">
        <v>1</v>
      </c>
      <c r="Y444" s="60"/>
      <c r="Z444" s="60"/>
      <c r="AA444" s="61">
        <f>SUM(X444:Z444)</f>
        <v>1</v>
      </c>
      <c r="AB444" s="60"/>
      <c r="AC444" s="60"/>
      <c r="AD444" s="60"/>
      <c r="AE444" s="61">
        <f>SUM(AB444:AD444)</f>
        <v>0</v>
      </c>
      <c r="AF444" s="65">
        <f t="shared" si="101"/>
        <v>3</v>
      </c>
    </row>
    <row r="445" spans="1:32" hidden="1" x14ac:dyDescent="0.35">
      <c r="A445" s="111"/>
      <c r="C445" s="63" t="s">
        <v>235</v>
      </c>
      <c r="D445" s="63"/>
      <c r="E445" s="63"/>
      <c r="F445" s="63"/>
      <c r="G445" s="61">
        <f>SUM(D445:F445)</f>
        <v>0</v>
      </c>
      <c r="H445" s="63"/>
      <c r="I445" s="63"/>
      <c r="J445" s="63"/>
      <c r="K445" s="61">
        <f>SUM(H445:J445)</f>
        <v>0</v>
      </c>
      <c r="L445" s="63">
        <v>1</v>
      </c>
      <c r="M445" s="63"/>
      <c r="N445" s="63"/>
      <c r="O445" s="61">
        <f>SUM(L445:N445)</f>
        <v>1</v>
      </c>
      <c r="P445" s="63">
        <v>1</v>
      </c>
      <c r="Q445" s="63"/>
      <c r="R445" s="63"/>
      <c r="S445" s="61">
        <f>SUM(P445:R445)</f>
        <v>1</v>
      </c>
      <c r="T445" s="63"/>
      <c r="U445" s="63"/>
      <c r="V445" s="63"/>
      <c r="W445" s="61">
        <f>SUM(T445:V445)</f>
        <v>0</v>
      </c>
      <c r="X445" s="63"/>
      <c r="Y445" s="63"/>
      <c r="Z445" s="63"/>
      <c r="AA445" s="61">
        <f>SUM(X445:Z445)</f>
        <v>0</v>
      </c>
      <c r="AB445" s="63"/>
      <c r="AC445" s="63"/>
      <c r="AD445" s="63"/>
      <c r="AE445" s="61">
        <f>SUM(AB445:AD445)</f>
        <v>0</v>
      </c>
      <c r="AF445" s="63">
        <f t="shared" si="101"/>
        <v>2</v>
      </c>
    </row>
    <row r="446" spans="1:32" x14ac:dyDescent="0.35">
      <c r="A446" s="66" t="s">
        <v>381</v>
      </c>
      <c r="B446" s="67">
        <v>24</v>
      </c>
      <c r="C446" s="66"/>
      <c r="D446" s="66">
        <f t="shared" ref="D446:AE446" si="106">SUM(D442:D445)</f>
        <v>2</v>
      </c>
      <c r="E446" s="66">
        <f t="shared" si="106"/>
        <v>0</v>
      </c>
      <c r="F446" s="66">
        <f t="shared" si="106"/>
        <v>0</v>
      </c>
      <c r="G446" s="61">
        <f t="shared" si="106"/>
        <v>2</v>
      </c>
      <c r="H446" s="66">
        <f t="shared" si="106"/>
        <v>0</v>
      </c>
      <c r="I446" s="66">
        <f t="shared" si="106"/>
        <v>0</v>
      </c>
      <c r="J446" s="66">
        <f t="shared" si="106"/>
        <v>0</v>
      </c>
      <c r="K446" s="61">
        <f t="shared" si="106"/>
        <v>0</v>
      </c>
      <c r="L446" s="66">
        <f t="shared" si="106"/>
        <v>2</v>
      </c>
      <c r="M446" s="66">
        <f t="shared" si="106"/>
        <v>0</v>
      </c>
      <c r="N446" s="66">
        <f t="shared" si="106"/>
        <v>0</v>
      </c>
      <c r="O446" s="61">
        <f t="shared" si="106"/>
        <v>2</v>
      </c>
      <c r="P446" s="66">
        <f t="shared" si="106"/>
        <v>1</v>
      </c>
      <c r="Q446" s="66">
        <f t="shared" si="106"/>
        <v>0</v>
      </c>
      <c r="R446" s="66">
        <f t="shared" si="106"/>
        <v>0</v>
      </c>
      <c r="S446" s="61">
        <f t="shared" si="106"/>
        <v>1</v>
      </c>
      <c r="T446" s="66">
        <f t="shared" si="106"/>
        <v>0</v>
      </c>
      <c r="U446" s="66">
        <f t="shared" si="106"/>
        <v>0</v>
      </c>
      <c r="V446" s="66">
        <f t="shared" si="106"/>
        <v>0</v>
      </c>
      <c r="W446" s="61">
        <f t="shared" si="106"/>
        <v>0</v>
      </c>
      <c r="X446" s="66">
        <f t="shared" si="106"/>
        <v>1</v>
      </c>
      <c r="Y446" s="66">
        <f t="shared" si="106"/>
        <v>0</v>
      </c>
      <c r="Z446" s="66">
        <f t="shared" si="106"/>
        <v>0</v>
      </c>
      <c r="AA446" s="61">
        <f t="shared" si="106"/>
        <v>1</v>
      </c>
      <c r="AB446" s="66">
        <f t="shared" si="106"/>
        <v>0</v>
      </c>
      <c r="AC446" s="66">
        <f t="shared" si="106"/>
        <v>0</v>
      </c>
      <c r="AD446" s="66">
        <f t="shared" si="106"/>
        <v>0</v>
      </c>
      <c r="AE446" s="61">
        <f t="shared" si="106"/>
        <v>0</v>
      </c>
      <c r="AF446" s="68">
        <f t="shared" si="101"/>
        <v>6</v>
      </c>
    </row>
  </sheetData>
  <sheetProtection selectLockedCells="1" selectUnlockedCells="1"/>
  <mergeCells count="94">
    <mergeCell ref="AH6:AL6"/>
    <mergeCell ref="P2:S2"/>
    <mergeCell ref="T2:W2"/>
    <mergeCell ref="A11:A13"/>
    <mergeCell ref="A1:C1"/>
    <mergeCell ref="D2:G2"/>
    <mergeCell ref="H2:K2"/>
    <mergeCell ref="L2:O2"/>
    <mergeCell ref="X2:AA2"/>
    <mergeCell ref="A46:A49"/>
    <mergeCell ref="A53:A54"/>
    <mergeCell ref="A58:A59"/>
    <mergeCell ref="A63:A64"/>
    <mergeCell ref="AB2:AE2"/>
    <mergeCell ref="A4:C4"/>
    <mergeCell ref="A6:A7"/>
    <mergeCell ref="A16:A17"/>
    <mergeCell ref="A21:A22"/>
    <mergeCell ref="A26:A27"/>
    <mergeCell ref="A31:A32"/>
    <mergeCell ref="A42:A43"/>
    <mergeCell ref="A73:A74"/>
    <mergeCell ref="A78:A79"/>
    <mergeCell ref="A146:A148"/>
    <mergeCell ref="A88:A89"/>
    <mergeCell ref="A93:A95"/>
    <mergeCell ref="A98:A100"/>
    <mergeCell ref="A102:A105"/>
    <mergeCell ref="A109:A111"/>
    <mergeCell ref="A114:A116"/>
    <mergeCell ref="A119:A121"/>
    <mergeCell ref="A83:A84"/>
    <mergeCell ref="A123:A126"/>
    <mergeCell ref="A130:A132"/>
    <mergeCell ref="A135:A137"/>
    <mergeCell ref="A139:A142"/>
    <mergeCell ref="A207:A209"/>
    <mergeCell ref="A151:A153"/>
    <mergeCell ref="A156:A158"/>
    <mergeCell ref="A161:A163"/>
    <mergeCell ref="A166:A168"/>
    <mergeCell ref="A171:A173"/>
    <mergeCell ref="A237:A239"/>
    <mergeCell ref="A242:A244"/>
    <mergeCell ref="A247:A249"/>
    <mergeCell ref="A252:A254"/>
    <mergeCell ref="A176:A178"/>
    <mergeCell ref="A181:A183"/>
    <mergeCell ref="A186:A188"/>
    <mergeCell ref="A191:A193"/>
    <mergeCell ref="A195:A198"/>
    <mergeCell ref="A200:A203"/>
    <mergeCell ref="A212:A214"/>
    <mergeCell ref="A217:A219"/>
    <mergeCell ref="A222:A224"/>
    <mergeCell ref="A227:A229"/>
    <mergeCell ref="A232:A234"/>
    <mergeCell ref="A257:A259"/>
    <mergeCell ref="A261:A264"/>
    <mergeCell ref="A329:A331"/>
    <mergeCell ref="A272:A275"/>
    <mergeCell ref="A279:A281"/>
    <mergeCell ref="A284:A286"/>
    <mergeCell ref="A289:A291"/>
    <mergeCell ref="A294:A296"/>
    <mergeCell ref="A299:A301"/>
    <mergeCell ref="A304:A306"/>
    <mergeCell ref="A268:A270"/>
    <mergeCell ref="A390:A393"/>
    <mergeCell ref="A334:A336"/>
    <mergeCell ref="A339:A341"/>
    <mergeCell ref="A343:A346"/>
    <mergeCell ref="A350:A352"/>
    <mergeCell ref="A355:A357"/>
    <mergeCell ref="A386:A388"/>
    <mergeCell ref="A309:A311"/>
    <mergeCell ref="A314:A316"/>
    <mergeCell ref="A319:A321"/>
    <mergeCell ref="A324:A326"/>
    <mergeCell ref="A361:A363"/>
    <mergeCell ref="A366:A368"/>
    <mergeCell ref="A371:A373"/>
    <mergeCell ref="A376:A378"/>
    <mergeCell ref="A381:A383"/>
    <mergeCell ref="A428:A430"/>
    <mergeCell ref="A433:A435"/>
    <mergeCell ref="A438:A440"/>
    <mergeCell ref="A443:A445"/>
    <mergeCell ref="A397:A399"/>
    <mergeCell ref="A402:A404"/>
    <mergeCell ref="A406:A409"/>
    <mergeCell ref="A411:A414"/>
    <mergeCell ref="A418:A420"/>
    <mergeCell ref="A423:A42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E5C6-1BAC-4D46-99EC-994E25C54D8D}">
  <dimension ref="A1:AM446"/>
  <sheetViews>
    <sheetView zoomScale="70" zoomScaleNormal="70" workbookViewId="0">
      <pane ySplit="4" topLeftCell="A5" activePane="bottomLeft" state="frozen"/>
      <selection pane="bottomLeft" activeCell="AT448" sqref="AT448"/>
    </sheetView>
  </sheetViews>
  <sheetFormatPr defaultRowHeight="14.5" x14ac:dyDescent="0.35"/>
  <cols>
    <col min="1" max="1" width="35.54296875" customWidth="1"/>
    <col min="2" max="2" width="9.81640625" bestFit="1" customWidth="1"/>
    <col min="3" max="3" width="10.7265625" bestFit="1" customWidth="1"/>
    <col min="4" max="4" width="6.26953125" bestFit="1" customWidth="1"/>
    <col min="5" max="5" width="4.54296875" customWidth="1"/>
    <col min="6" max="6" width="5.1796875" customWidth="1"/>
    <col min="7" max="7" width="4.453125" customWidth="1"/>
    <col min="8" max="8" width="6.81640625" customWidth="1"/>
    <col min="9" max="9" width="4.54296875" customWidth="1"/>
    <col min="10" max="10" width="3" customWidth="1"/>
    <col min="11" max="11" width="5.1796875" customWidth="1"/>
    <col min="12" max="12" width="4.453125" customWidth="1"/>
    <col min="13" max="13" width="6.1796875" customWidth="1"/>
    <col min="14" max="14" width="5" bestFit="1" customWidth="1"/>
    <col min="15" max="15" width="3.453125" customWidth="1"/>
    <col min="16" max="16" width="5.1796875" customWidth="1"/>
    <col min="17" max="17" width="4.453125" customWidth="1"/>
    <col min="18" max="18" width="5.7265625" customWidth="1"/>
    <col min="19" max="19" width="3.7265625" customWidth="1"/>
    <col min="20" max="20" width="3" customWidth="1"/>
    <col min="21" max="21" width="5.1796875" customWidth="1"/>
    <col min="22" max="22" width="4.453125" customWidth="1"/>
    <col min="23" max="23" width="6.1796875" customWidth="1"/>
    <col min="24" max="24" width="3.7265625" customWidth="1"/>
    <col min="25" max="25" width="3" customWidth="1"/>
    <col min="26" max="26" width="5.1796875" customWidth="1"/>
    <col min="27" max="27" width="4.453125" customWidth="1"/>
    <col min="28" max="28" width="6.1796875" customWidth="1"/>
    <col min="29" max="29" width="3.7265625" customWidth="1"/>
    <col min="30" max="30" width="3" customWidth="1"/>
    <col min="31" max="31" width="5.1796875" customWidth="1"/>
    <col min="32" max="32" width="4.453125" customWidth="1"/>
    <col min="33" max="33" width="6.1796875" customWidth="1"/>
    <col min="34" max="34" width="5" bestFit="1" customWidth="1"/>
    <col min="35" max="35" width="3.453125" customWidth="1"/>
    <col min="36" max="36" width="5.1796875" customWidth="1"/>
    <col min="37" max="37" width="4.453125" customWidth="1"/>
    <col min="38" max="38" width="6.81640625" customWidth="1"/>
    <col min="39" max="39" width="8.7265625" customWidth="1"/>
  </cols>
  <sheetData>
    <row r="1" spans="1:39" x14ac:dyDescent="0.35">
      <c r="A1" s="131" t="s">
        <v>206</v>
      </c>
      <c r="B1" s="131"/>
      <c r="C1" s="131"/>
      <c r="D1" s="139" t="s">
        <v>406</v>
      </c>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1"/>
    </row>
    <row r="2" spans="1:39" ht="29" x14ac:dyDescent="0.35">
      <c r="A2" s="52" t="s">
        <v>208</v>
      </c>
      <c r="B2" s="53" t="s">
        <v>209</v>
      </c>
      <c r="C2" s="52" t="s">
        <v>210</v>
      </c>
      <c r="D2" s="132" t="s">
        <v>211</v>
      </c>
      <c r="E2" s="133"/>
      <c r="F2" s="133"/>
      <c r="G2" s="133"/>
      <c r="H2" s="134"/>
      <c r="I2" s="118" t="s">
        <v>212</v>
      </c>
      <c r="J2" s="119"/>
      <c r="K2" s="119"/>
      <c r="L2" s="119"/>
      <c r="M2" s="120"/>
      <c r="N2" s="135" t="s">
        <v>213</v>
      </c>
      <c r="O2" s="136"/>
      <c r="P2" s="136"/>
      <c r="Q2" s="136"/>
      <c r="R2" s="137"/>
      <c r="S2" s="118" t="s">
        <v>214</v>
      </c>
      <c r="T2" s="119"/>
      <c r="U2" s="119"/>
      <c r="V2" s="119"/>
      <c r="W2" s="120"/>
      <c r="X2" s="118" t="s">
        <v>215</v>
      </c>
      <c r="Y2" s="119"/>
      <c r="Z2" s="119"/>
      <c r="AA2" s="119"/>
      <c r="AB2" s="120"/>
      <c r="AC2" s="118" t="s">
        <v>216</v>
      </c>
      <c r="AD2" s="119"/>
      <c r="AE2" s="119"/>
      <c r="AF2" s="119"/>
      <c r="AG2" s="120"/>
      <c r="AH2" s="118" t="s">
        <v>217</v>
      </c>
      <c r="AI2" s="119"/>
      <c r="AJ2" s="119"/>
      <c r="AK2" s="119"/>
      <c r="AL2" s="120"/>
      <c r="AM2" s="52" t="s">
        <v>218</v>
      </c>
    </row>
    <row r="3" spans="1:39" x14ac:dyDescent="0.35">
      <c r="B3" s="54"/>
      <c r="D3" s="55" t="s">
        <v>219</v>
      </c>
      <c r="E3" s="55" t="s">
        <v>220</v>
      </c>
      <c r="F3" s="55" t="s">
        <v>405</v>
      </c>
      <c r="G3" s="55" t="s">
        <v>404</v>
      </c>
      <c r="H3" s="56" t="s">
        <v>18</v>
      </c>
      <c r="I3" s="55" t="s">
        <v>219</v>
      </c>
      <c r="J3" s="55" t="s">
        <v>220</v>
      </c>
      <c r="K3" s="55" t="s">
        <v>405</v>
      </c>
      <c r="L3" s="55" t="s">
        <v>404</v>
      </c>
      <c r="M3" s="56" t="s">
        <v>222</v>
      </c>
      <c r="N3" s="55" t="s">
        <v>219</v>
      </c>
      <c r="O3" s="55" t="s">
        <v>220</v>
      </c>
      <c r="P3" s="55" t="s">
        <v>405</v>
      </c>
      <c r="Q3" s="55" t="s">
        <v>404</v>
      </c>
      <c r="R3" s="56" t="s">
        <v>18</v>
      </c>
      <c r="S3" s="55" t="s">
        <v>219</v>
      </c>
      <c r="T3" s="55" t="s">
        <v>220</v>
      </c>
      <c r="U3" s="55" t="s">
        <v>405</v>
      </c>
      <c r="V3" s="55" t="s">
        <v>404</v>
      </c>
      <c r="W3" s="56" t="s">
        <v>222</v>
      </c>
      <c r="X3" s="55" t="s">
        <v>219</v>
      </c>
      <c r="Y3" s="55" t="s">
        <v>220</v>
      </c>
      <c r="Z3" s="55" t="s">
        <v>405</v>
      </c>
      <c r="AA3" s="55" t="s">
        <v>404</v>
      </c>
      <c r="AB3" s="56" t="s">
        <v>222</v>
      </c>
      <c r="AC3" s="55" t="s">
        <v>219</v>
      </c>
      <c r="AD3" s="55" t="s">
        <v>220</v>
      </c>
      <c r="AE3" s="55" t="s">
        <v>405</v>
      </c>
      <c r="AF3" s="55" t="s">
        <v>404</v>
      </c>
      <c r="AG3" s="56" t="s">
        <v>222</v>
      </c>
      <c r="AH3" s="55" t="s">
        <v>219</v>
      </c>
      <c r="AI3" s="55" t="s">
        <v>220</v>
      </c>
      <c r="AJ3" s="55" t="s">
        <v>405</v>
      </c>
      <c r="AK3" s="55" t="s">
        <v>404</v>
      </c>
      <c r="AL3" s="56" t="s">
        <v>18</v>
      </c>
      <c r="AM3" s="57"/>
    </row>
    <row r="4" spans="1:39" x14ac:dyDescent="0.35">
      <c r="A4" s="121" t="s">
        <v>48</v>
      </c>
      <c r="B4" s="122"/>
      <c r="C4" s="123"/>
      <c r="D4" s="58">
        <f>SUM(D358,D9,D14,D19,D24,D29,D40,D51,D56,D61,D66,D71,D76,D81,D86,D91,D96,D107,D112,D117,D128,D133,D144,D149,D154,D159,D164,D169,D174,D179,D184,D189,D205,D210,D215,D220,D225,D230,D235,D240,D245,D250,D255,D266,D277,D282,D287,D292,D297,D302,D307,D312,D317,D322,D327,D332,D337,D348,D353,D364,D369,D374,D379,D384,D395,D400,D416,D421,D426,D431,D436,D441,D446)</f>
        <v>1759</v>
      </c>
      <c r="E4" s="58">
        <f>SUM(E358,E9,E14,E19,E24,E29,E40,E51,E56,E61,E66,E71,E76,E81,E86,E91,E96,E107,E112,E117,E128,E133,E144,E149,E154,E159,E164,E169,E174,E179,E184,E189,E205,E210,E215,E220,E225,E230,E235,E240,E245,E250,E255,E266,E277,E282,E287,E292,E297,E302,E307,E312,E317,E322,E327,E332,E337,E348,E353,E364,E369,E374,E379,E384,E395,E400,E416,E421,E426,E431,E436,E441,E446)</f>
        <v>111</v>
      </c>
      <c r="F4" s="58">
        <f>SUM(F358,F9,F14,F19,F24,F29,F40,F51,F56,F61,F66,F71,F76,F81,F86,F91,F96,F107,F112,F117,F128,F133,F144,F149,F154,F159,F164,F169,F174,F179,F184,F189,F205,F210,F215,F220,F225,F230,F235,F240,F245,F250,F255,F266,F277,F282,F287,F292,F297,F302,F307,F312,F317,F322,F327,F332,F337,F348,F353,F364,F369,F374,F379,F384,F395,F400,F416,F421,F426,F431,F436,F441,F446)</f>
        <v>64</v>
      </c>
      <c r="G4" s="58">
        <f>SUM(G358,G9,G14,G19,G24,G29,G40,G51,G56,G61,G66,G71,G76,G81,G86,G91,G96,G107,G112,G117,G128,G133,G144,G149,G154,G159,G164,G169,G174,G179,G184,G189,G205,G210,G215,G220,G225,G230,G235,G240,G245,G250,G255,G266,G277,G282,G287,G292,G297,G302,G307,G312,G317,G322,G327,G332,G337,G348,G353,G364,G369,G374,G379,G384,G395,G400,G416,G421,G426,G431,G436,G441,G446)</f>
        <v>4</v>
      </c>
      <c r="H4" s="58">
        <f>SUM(D4:G4)</f>
        <v>1938</v>
      </c>
      <c r="I4" s="58">
        <f>SUM(I358,I9,I14,I19,I24,I29,I40,I51,I56,I61,I66,I71,I76,I81,I86,I91,I96,I107,I112,I117,I128,I133,I144,I149,I154,I159,I164,I169,I174,I179,I184,I189,I205,I210,I215,I220,I225,I230,I235,I240,I245,I250,I255,I266,I277,I282,I287,I292,I297,I302,I307,I312,I317,I322,I327,I332,I337,I348,I353,I364,I369,I374,I379,I384,I395,I400,I416,I421,I426,I431,I436,I441,I446)</f>
        <v>83</v>
      </c>
      <c r="J4" s="58">
        <f>SUM(J358,J9,J14,J19,J24,J29,J40,J51,J56,J61,J66,J71,J76,J81,J86,J91,J96,J107,J112,J117,J128,J133,J144,J149,J154,J159,J164,J169,J174,J179,J184,J189,J205,J210,J215,J220,J225,J230,J235,J240,J245,J250,J255,J266,J277,J282,J287,J292,J297,J302,J307,J312,J317,J322,J327,J332,J337,J348,J353,J364,J369,J374,J379,J384,J395,J400,J416,J421,J426,J431,J436,J441,J446)</f>
        <v>10</v>
      </c>
      <c r="K4" s="58">
        <f>SUM(K358,K9,K14,K19,K24,K29,K40,K51,K56,K61,K66,K71,K76,K81,K86,K91,K96,K107,K112,K117,K128,K133,K144,K149,K154,K159,K164,K169,K174,K179,K184,K189,K205,K210,K215,K220,K225,K230,K235,K240,K245,K250,K255,K266,K277,K282,K287,K292,K297,K302,K307,K312,K317,K322,K327,K332,K337,K348,K353,K364,K369,K374,K379,K384,K395,K400,K416,K421,K426,K431,K436,K441,K446)</f>
        <v>8</v>
      </c>
      <c r="L4" s="58">
        <f>SUM(L358,L9,L14,L19,L24,L29,L40,L51,L56,L61,L66,L71,L76,L81,L86,L91,L96,L107,L112,L117,L128,L133,L144,L149,L154,L159,L164,L169,L174,L179,L184,L189,L205,L210,L215,L220,L225,L230,L235,L240,L245,L250,L255,L266,L277,L282,L287,L292,L297,L302,L307,L312,L317,L322,L327,L332,L337,L348,L353,L364,L369,L374,L379,L384,L395,L400,L416,L421,L426,L431,L436,L441,L446)</f>
        <v>0</v>
      </c>
      <c r="M4" s="58">
        <f>SUM(I4:L4)</f>
        <v>101</v>
      </c>
      <c r="N4" s="58">
        <f>SUM(N358,N9,N14,N19,N24,N29,N40,N51,N56,N61,N66,N71,N76,N81,N86,N91,N96,N107,N112,N117,N128,N133,N144,N149,N154,N159,N164,N169,N174,N179,N184,N189,N205,N210,N215,N220,N225,N230,N235,N240,N245,N250,N255,N266,N277,N282,N287,N292,N297,N302,N307,N312,N317,N322,N327,N332,N337,N348,N353,N364,N369,N374,N379,N384,N395,N400,N416,N421,N426,N431,N436,N441,N446)</f>
        <v>326</v>
      </c>
      <c r="O4" s="58">
        <f>SUM(O358,O9,O14,O19,O24,O29,O40,O51,O56,O61,O66,O71,O76,O81,O86,O91,O96,O107,O112,O117,O128,O133,O144,O149,O154,O159,O164,O169,O174,O179,O184,O189,O205,O210,O215,O220,O225,O230,O235,O240,O245,O250,O255,O266,O277,O282,O287,O292,O297,O302,O307,O312,O317,O322,O327,O332,O337,O348,O353,O364,O369,O374,O379,O384,O395,O400,O416,O421,O426,O431,O436,O441,O446)</f>
        <v>45</v>
      </c>
      <c r="P4" s="58">
        <f>SUM(P358,P9,P14,P19,P24,P29,P40,P51,P56,P61,P66,P71,P76,P81,P86,P91,P96,P107,P112,P117,P128,P133,P144,P149,P154,P159,P164,P169,P174,P179,P184,P189,P205,P210,P215,P220,P225,P230,P235,P240,P245,P250,P255,P266,P277,P282,P287,P292,P297,P302,P307,P312,P317,P322,P327,P332,P337,P348,P353,P364,P369,P374,P379,P384,P395,P400,P416,P421,P426,P431,P436,P441,P446)</f>
        <v>21</v>
      </c>
      <c r="Q4" s="58">
        <f>SUM(Q358,Q9,Q14,Q19,Q24,Q29,Q40,Q51,Q56,Q61,Q66,Q71,Q76,Q81,Q86,Q91,Q96,Q107,Q112,Q117,Q128,Q133,Q144,Q149,Q154,Q159,Q164,Q169,Q174,Q179,Q184,Q189,Q205,Q210,Q215,Q220,Q225,Q230,Q235,Q240,Q245,Q250,Q255,Q266,Q277,Q282,Q287,Q292,Q297,Q302,Q307,Q312,Q317,Q322,Q327,Q332,Q337,Q348,Q353,Q364,Q369,Q374,Q379,Q384,Q395,Q400,Q416,Q421,Q426,Q431,Q436,Q441,Q446)</f>
        <v>2</v>
      </c>
      <c r="R4" s="58">
        <f>SUM(N4:Q4)</f>
        <v>394</v>
      </c>
      <c r="S4" s="58">
        <f>SUM(S358,S9,S14,S19,S24,S29,S40,S51,S56,S61,S66,S71,S76,S81,S86,S91,S96,S107,S112,S117,S128,S133,S144,S149,S154,S159,S164,S169,S174,S179,S184,S189,S205,S210,S215,S220,S225,S230,S235,S240,S245,S250,S255,S266,S277,S282,S287,S292,S297,S302,S307,S312,S317,S322,S327,S332,S337,S348,S353,S364,S369,S374,S379,S384,S395,S400,S416,S421,S426,S431,S436,S441,S446)</f>
        <v>7</v>
      </c>
      <c r="T4" s="58">
        <f>SUM(T358,T9,T14,T19,T24,T29,T40,T51,T56,T61,T66,T71,T76,T81,T86,T91,T96,T107,T112,T117,T128,T133,T144,T149,T154,T159,T164,T169,T174,T179,T184,T189,T205,T210,T215,T220,T225,T230,T235,T240,T245,T250,T255,T266,T277,T282,T287,T292,T297,T302,T307,T312,T317,T322,T327,T332,T337,T348,T353,T364,T369,T374,T379,T384,T395,T400,T416,T421,T426,T431,T436,T441,T446)</f>
        <v>1</v>
      </c>
      <c r="U4" s="58">
        <f>SUM(U358,U9,U14,U19,U24,U29,U40,U51,U56,U61,U66,U71,U76,U81,U86,U91,U96,U107,U112,U117,U128,U133,U144,U149,U154,U159,U164,U169,U174,U179,U184,U189,U205,U210,U215,U220,U225,U230,U235,U240,U245,U250,U255,U266,U277,U282,U287,U292,U297,U302,U307,U312,U317,U322,U327,U332,U337,U348,U353,U364,U369,U374,U379,U384,U395,U400,U416,U421,U426,U431,U436,U441,U446)</f>
        <v>0</v>
      </c>
      <c r="V4" s="58">
        <f>SUM(V358,V9,V14,V19,V24,V29,V40,V51,V56,V61,V66,V71,V76,V81,V86,V91,V96,V107,V112,V117,V128,V133,V144,V149,V154,V159,V164,V169,V174,V179,V184,V189,V205,V210,V215,V220,V225,V230,V235,V240,V245,V250,V255,V266,V277,V282,V287,V292,V297,V302,V307,V312,V317,V322,V327,V332,V337,V348,V353,V364,V369,V374,V379,V384,V395,V400,V416,V421,V426,V431,V436,V441,V446)</f>
        <v>0</v>
      </c>
      <c r="W4" s="58">
        <f>SUM(S4:V4)</f>
        <v>8</v>
      </c>
      <c r="X4" s="58">
        <f>SUM(X358,X9,X14,X19,X24,X29,X40,X51,X56,X61,X66,X71,X76,X81,X86,X91,X96,X107,X112,X117,X128,X133,X144,X149,X154,X159,X164,X169,X174,X179,X184,X189,X205,X210,X215,X220,X225,X230,X235,X240,X245,X250,X255,X266,X277,X282,X287,X292,X297,X302,X307,X312,X317,X322,X327,X332,X337,X348,X353,X364,X369,X374,X379,X384,X395,X400,X416,X421,X426,X431,X436,X441,X446)</f>
        <v>1</v>
      </c>
      <c r="Y4" s="58">
        <f>SUM(Y358,Y9,Y14,Y19,Y24,Y29,Y40,Y51,Y56,Y61,Y66,Y71,Y76,Y81,Y86,Y91,Y96,Y107,Y112,Y117,Y128,Y133,Y144,Y149,Y154,Y159,Y164,Y169,Y174,Y179,Y184,Y189,Y205,Y210,Y215,Y220,Y225,Y230,Y235,Y240,Y245,Y250,Y255,Y266,Y277,Y282,Y287,Y292,Y297,Y302,Y307,Y312,Y317,Y322,Y327,Y332,Y337,Y348,Y353,Y364,Y369,Y374,Y379,Y384,Y395,Y400,Y416,Y421,Y426,Y431,Y436,Y441,Y446)</f>
        <v>0</v>
      </c>
      <c r="Z4" s="58">
        <f>SUM(Z358,Z9,Z14,Z19,Z24,Z29,Z40,Z51,Z56,Z61,Z66,Z71,Z76,Z81,Z86,Z91,Z96,Z107,Z112,Z117,Z128,Z133,Z144,Z149,Z154,Z159,Z164,Z169,Z174,Z179,Z184,Z189,Z205,Z210,Z215,Z220,Z225,Z230,Z235,Z240,Z245,Z250,Z255,Z266,Z277,Z282,Z287,Z292,Z297,Z302,Z307,Z312,Z317,Z322,Z327,Z332,Z337,Z348,Z353,Z364,Z369,Z374,Z379,Z384,Z395,Z400,Z416,Z421,Z426,Z431,Z436,Z441,Z446)</f>
        <v>0</v>
      </c>
      <c r="AA4" s="58">
        <f>SUM(AA358,AA9,AA14,AA19,AA24,AA29,AA40,AA51,AA56,AA61,AA66,AA71,AA76,AA81,AA86,AA91,AA96,AA107,AA112,AA117,AA128,AA133,AA144,AA149,AA154,AA159,AA164,AA169,AA174,AA179,AA184,AA189,AA205,AA210,AA215,AA220,AA225,AA230,AA235,AA240,AA245,AA250,AA255,AA266,AA277,AA282,AA287,AA292,AA297,AA302,AA307,AA312,AA317,AA322,AA327,AA332,AA337,AA348,AA353,AA364,AA369,AA374,AA379,AA384,AA395,AA400,AA416,AA421,AA426,AA431,AA436,AA441,AA446)</f>
        <v>0</v>
      </c>
      <c r="AB4" s="58">
        <f>SUM(X4:AA4)</f>
        <v>1</v>
      </c>
      <c r="AC4" s="58">
        <f>SUM(AC358,AC9,AC14,AC19,AC24,AC29,AC40,AC51,AC56,AC61,AC66,AC71,AC76,AC81,AC86,AC91,AC96,AC107,AC112,AC117,AC128,AC133,AC144,AC149,AC154,AC159,AC164,AC169,AC174,AC179,AC184,AC189,AC205,AC210,AC215,AC220,AC225,AC230,AC235,AC240,AC245,AC250,AC255,AC266,AC277,AC282,AC287,AC292,AC297,AC302,AC307,AC312,AC317,AC322,AC327,AC332,AC337,AC348,AC353,AC364,AC369,AC374,AC379,AC384,AC395,AC400,AC416,AC421,AC426,AC431,AC436,AC441,AC446)</f>
        <v>84</v>
      </c>
      <c r="AD4" s="58">
        <f>SUM(AD358,AD9,AD14,AD19,AD24,AD29,AD40,AD51,AD56,AD61,AD66,AD71,AD76,AD81,AD86,AD91,AD96,AD107,AD112,AD117,AD128,AD133,AD144,AD149,AD154,AD159,AD164,AD169,AD174,AD179,AD184,AD189,AD205,AD210,AD215,AD220,AD225,AD230,AD235,AD240,AD245,AD250,AD255,AD266,AD277,AD282,AD287,AD292,AD297,AD302,AD307,AD312,AD317,AD322,AD327,AD332,AD337,AD348,AD353,AD364,AD369,AD374,AD379,AD384,AD395,AD400,AD416,AD421,AD426,AD431,AD436,AD441,AD446)</f>
        <v>4</v>
      </c>
      <c r="AE4" s="58">
        <f>SUM(AE358,AE9,AE14,AE19,AE24,AE29,AE40,AE51,AE56,AE61,AE66,AE71,AE76,AE81,AE86,AE91,AE96,AE107,AE112,AE117,AE128,AE133,AE144,AE149,AE154,AE159,AE164,AE169,AE174,AE179,AE184,AE189,AE205,AE210,AE215,AE220,AE225,AE230,AE235,AE240,AE245,AE250,AE255,AE266,AE277,AE282,AE287,AE292,AE297,AE302,AE307,AE312,AE317,AE322,AE327,AE332,AE337,AE348,AE353,AE364,AE369,AE374,AE379,AE384,AE395,AE400,AE416,AE421,AE426,AE431,AE436,AE441,AE446)</f>
        <v>2</v>
      </c>
      <c r="AF4" s="58">
        <f>SUM(AF358,AF9,AF14,AF19,AF24,AF29,AF40,AF51,AF56,AF61,AF66,AF71,AF76,AF81,AF86,AF91,AF96,AF107,AF112,AF117,AF128,AF133,AF144,AF149,AF154,AF159,AF164,AF169,AF174,AF179,AF184,AF189,AF205,AF210,AF215,AF220,AF225,AF230,AF235,AF240,AF245,AF250,AF255,AF266,AF277,AF282,AF287,AF292,AF297,AF302,AF307,AF312,AF317,AF322,AF327,AF332,AF337,AF348,AF353,AF364,AF369,AF374,AF379,AF384,AF395,AF400,AF416,AF421,AF426,AF431,AF436,AF441,AF446)</f>
        <v>0</v>
      </c>
      <c r="AG4" s="58">
        <f>SUM(AC4:AF4)</f>
        <v>90</v>
      </c>
      <c r="AH4" s="58">
        <f>SUM(AH358,AH9,AH14,AH19,AH24,AH29,AH40,AH51,AH56,AH61,AH66,AH71,AH76,AH81,AH86,AH91,AH96,AH107,AH112,AH117,AH128,AH133,AH144,AH149,AH154,AH159,AH164,AH169,AH174,AH179,AH184,AH189,AH205,AH210,AH215,AH220,AH225,AH230,AH235,AH240,AH245,AH250,AH255,AH266,AH277,AH282,AH287,AH292,AH297,AH302,AH307,AH312,AH317,AH322,AH327,AH332,AH337,AH348,AH353,AH364,AH369,AH374,AH379,AH384,AH395,AH400,AH416,AH421,AH426,AH431,AH436,AH441,AH446)</f>
        <v>319</v>
      </c>
      <c r="AI4" s="58">
        <f>SUM(AI358,AI9,AI14,AI19,AI24,AI29,AI40,AI51,AI56,AI61,AI66,AI71,AI76,AI81,AI86,AI91,AI96,AI107,AI112,AI117,AI128,AI133,AI144,AI149,AI154,AI159,AI164,AI169,AI174,AI179,AI184,AI189,AI205,AI210,AI215,AI220,AI225,AI230,AI235,AI240,AI245,AI250,AI255,AI266,AI277,AI282,AI287,AI292,AI297,AI302,AI307,AI312,AI317,AI322,AI327,AI332,AI337,AI348,AI353,AI364,AI369,AI374,AI379,AI384,AI395,AI400,AI416,AI421,AI426,AI431,AI436,AI441,AI446)</f>
        <v>27</v>
      </c>
      <c r="AJ4" s="58">
        <f>SUM(AJ358,AJ9,AJ14,AJ19,AJ24,AJ29,AJ40,AJ51,AJ56,AJ61,AJ66,AJ71,AJ76,AJ81,AJ86,AJ91,AJ96,AJ107,AJ112,AJ117,AJ128,AJ133,AJ144,AJ149,AJ154,AJ159,AJ164,AJ169,AJ174,AJ179,AJ184,AJ189,AJ205,AJ210,AJ215,AJ220,AJ225,AJ230,AJ235,AJ240,AJ245,AJ250,AJ255,AJ266,AJ277,AJ282,AJ287,AJ292,AJ297,AJ302,AJ307,AJ312,AJ317,AJ322,AJ327,AJ332,AJ337,AJ348,AJ353,AJ364,AJ369,AJ374,AJ379,AJ384,AJ395,AJ400,AJ416,AJ421,AJ426,AJ431,AJ436,AJ441,AJ446)</f>
        <v>11</v>
      </c>
      <c r="AK4" s="58">
        <f>SUM(AK358,AK9,AK14,AK19,AK24,AK29,AK40,AK51,AK56,AK61,AK66,AK71,AK76,AK81,AK86,AK91,AK96,AK107,AK112,AK117,AK128,AK133,AK144,AK149,AK154,AK159,AK164,AK169,AK174,AK179,AK184,AK189,AK205,AK210,AK215,AK220,AK225,AK230,AK235,AK240,AK245,AK250,AK255,AK266,AK277,AK282,AK287,AK292,AK297,AK302,AK307,AK312,AK317,AK322,AK327,AK332,AK337,AK348,AK353,AK364,AK369,AK374,AK379,AK384,AK395,AK400,AK416,AK421,AK426,AK431,AK436,AK441,AK446)</f>
        <v>0</v>
      </c>
      <c r="AL4" s="58">
        <f>SUM(AH4:AK4)</f>
        <v>357</v>
      </c>
      <c r="AM4" s="66">
        <f>SUM(AM358,AM9,AM14,AM19,AM24,AM29,AM40,AM51,AM56,AM61,AM66,AM71,AM76,AM81,AM86,AM91,AM96,AM107,AM112,AM117,AM128,AM133,AM144,AM149,AM154,AM159,AM164,AM169,AM174,AM179,AM184,AM189,AM205,AM210,AM215,AM220,AM225,AM230,AM235,AM240,AM245,AM250,AM255,AM266,AM277,AM282,AM287,AM292,AM297,AM302,AM307,AM312,AM317,AM322,AM327,AM332,AM337,AM348,AM353,AM364,AM369,AM374,AM379,AM384,AM395,AM400,AM416,AM421,AM426,AM431,AM436,AM441,AM446)</f>
        <v>2889</v>
      </c>
    </row>
    <row r="5" spans="1:39" hidden="1" x14ac:dyDescent="0.35">
      <c r="A5" s="59" t="s">
        <v>223</v>
      </c>
      <c r="B5" s="54" t="s">
        <v>224</v>
      </c>
      <c r="C5" s="60" t="s">
        <v>225</v>
      </c>
      <c r="D5" s="60">
        <v>4</v>
      </c>
      <c r="E5" s="60"/>
      <c r="F5" s="60"/>
      <c r="G5" s="60"/>
      <c r="H5" s="61">
        <f>SUM(D5:G5)</f>
        <v>4</v>
      </c>
      <c r="I5" s="60"/>
      <c r="J5" s="60"/>
      <c r="K5" s="60"/>
      <c r="L5" s="60"/>
      <c r="M5" s="61">
        <f>SUM(I5:L5)</f>
        <v>0</v>
      </c>
      <c r="N5" s="60"/>
      <c r="O5" s="60"/>
      <c r="P5" s="60"/>
      <c r="Q5" s="60"/>
      <c r="R5" s="61">
        <f>SUM(N5:Q5)</f>
        <v>0</v>
      </c>
      <c r="S5" s="60"/>
      <c r="T5" s="60"/>
      <c r="U5" s="60"/>
      <c r="V5" s="60"/>
      <c r="W5" s="61">
        <f>SUM(S5:V5)</f>
        <v>0</v>
      </c>
      <c r="X5" s="60"/>
      <c r="Y5" s="60"/>
      <c r="Z5" s="60"/>
      <c r="AA5" s="60"/>
      <c r="AB5" s="61">
        <f>SUM(X5:AA5)</f>
        <v>0</v>
      </c>
      <c r="AC5" s="60"/>
      <c r="AD5" s="60"/>
      <c r="AE5" s="60"/>
      <c r="AF5" s="60"/>
      <c r="AG5" s="61">
        <f>SUM(AC5:AF5)</f>
        <v>0</v>
      </c>
      <c r="AH5" s="60">
        <v>7</v>
      </c>
      <c r="AI5" s="60"/>
      <c r="AJ5" s="60"/>
      <c r="AK5" s="60"/>
      <c r="AL5" s="61">
        <f>SUM(AH5:AK5)</f>
        <v>7</v>
      </c>
      <c r="AM5" s="68">
        <f t="shared" ref="AM5:AM68" si="0">SUM(H5,M5,R5,W5,AB5,AG5,AL5)</f>
        <v>11</v>
      </c>
    </row>
    <row r="6" spans="1:39" hidden="1" x14ac:dyDescent="0.35">
      <c r="A6" s="113" t="s">
        <v>226</v>
      </c>
      <c r="B6" s="54"/>
      <c r="C6" s="63" t="s">
        <v>227</v>
      </c>
      <c r="D6" s="63">
        <v>9</v>
      </c>
      <c r="E6" s="63"/>
      <c r="F6" s="63"/>
      <c r="G6" s="63"/>
      <c r="H6" s="61">
        <f>SUM(D6:G6)</f>
        <v>9</v>
      </c>
      <c r="I6" s="63"/>
      <c r="J6" s="63"/>
      <c r="K6" s="63"/>
      <c r="L6" s="63"/>
      <c r="M6" s="61">
        <f>SUM(I6:L6)</f>
        <v>0</v>
      </c>
      <c r="N6" s="63">
        <v>1</v>
      </c>
      <c r="O6" s="63"/>
      <c r="P6" s="63"/>
      <c r="Q6" s="63"/>
      <c r="R6" s="61">
        <f>SUM(N6:Q6)</f>
        <v>1</v>
      </c>
      <c r="S6" s="63"/>
      <c r="T6" s="63"/>
      <c r="U6" s="63"/>
      <c r="V6" s="63"/>
      <c r="W6" s="61">
        <f>SUM(S6:V6)</f>
        <v>0</v>
      </c>
      <c r="X6" s="63"/>
      <c r="Y6" s="63"/>
      <c r="Z6" s="63"/>
      <c r="AA6" s="63"/>
      <c r="AB6" s="61">
        <f>SUM(X6:AA6)</f>
        <v>0</v>
      </c>
      <c r="AC6" s="63"/>
      <c r="AD6" s="63"/>
      <c r="AE6" s="63"/>
      <c r="AF6" s="63"/>
      <c r="AG6" s="61">
        <f>SUM(AC6:AF6)</f>
        <v>0</v>
      </c>
      <c r="AH6" s="63">
        <v>2</v>
      </c>
      <c r="AI6" s="63"/>
      <c r="AJ6" s="63"/>
      <c r="AK6" s="63"/>
      <c r="AL6" s="61">
        <f>SUM(AH6:AK6)</f>
        <v>2</v>
      </c>
      <c r="AM6" s="68">
        <f t="shared" si="0"/>
        <v>12</v>
      </c>
    </row>
    <row r="7" spans="1:39" hidden="1" x14ac:dyDescent="0.35">
      <c r="A7" s="113"/>
      <c r="B7" s="54"/>
      <c r="C7" s="60" t="s">
        <v>228</v>
      </c>
      <c r="D7" s="60">
        <v>5</v>
      </c>
      <c r="E7" s="60"/>
      <c r="F7" s="60"/>
      <c r="G7" s="60"/>
      <c r="H7" s="61">
        <f>SUM(D7:G7)</f>
        <v>5</v>
      </c>
      <c r="I7" s="60"/>
      <c r="J7" s="60"/>
      <c r="K7" s="60"/>
      <c r="L7" s="60"/>
      <c r="M7" s="61">
        <f>SUM(I7:L7)</f>
        <v>0</v>
      </c>
      <c r="N7" s="60">
        <v>2</v>
      </c>
      <c r="O7" s="60"/>
      <c r="P7" s="60"/>
      <c r="Q7" s="60"/>
      <c r="R7" s="61">
        <f>SUM(N7:Q7)</f>
        <v>2</v>
      </c>
      <c r="S7" s="60"/>
      <c r="T7" s="60"/>
      <c r="U7" s="60"/>
      <c r="V7" s="60"/>
      <c r="W7" s="61">
        <f>SUM(S7:V7)</f>
        <v>0</v>
      </c>
      <c r="X7" s="60"/>
      <c r="Y7" s="60"/>
      <c r="Z7" s="60"/>
      <c r="AA7" s="60"/>
      <c r="AB7" s="61">
        <f>SUM(X7:AA7)</f>
        <v>0</v>
      </c>
      <c r="AC7" s="60"/>
      <c r="AD7" s="60"/>
      <c r="AE7" s="60"/>
      <c r="AF7" s="60"/>
      <c r="AG7" s="61">
        <f>SUM(AC7:AF7)</f>
        <v>0</v>
      </c>
      <c r="AH7" s="60">
        <v>9</v>
      </c>
      <c r="AI7" s="60"/>
      <c r="AJ7" s="60"/>
      <c r="AK7" s="60"/>
      <c r="AL7" s="61">
        <f>SUM(AH7:AK7)</f>
        <v>9</v>
      </c>
      <c r="AM7" s="68">
        <f t="shared" si="0"/>
        <v>16</v>
      </c>
    </row>
    <row r="8" spans="1:39" hidden="1" x14ac:dyDescent="0.35">
      <c r="B8" s="54"/>
      <c r="C8" s="63" t="s">
        <v>229</v>
      </c>
      <c r="D8" s="63">
        <v>6</v>
      </c>
      <c r="E8" s="63"/>
      <c r="F8" s="63"/>
      <c r="G8" s="63"/>
      <c r="H8" s="61">
        <f>SUM(D8:G8)</f>
        <v>6</v>
      </c>
      <c r="I8" s="63"/>
      <c r="J8" s="63"/>
      <c r="K8" s="63"/>
      <c r="L8" s="63"/>
      <c r="M8" s="61">
        <f>SUM(I8:L8)</f>
        <v>0</v>
      </c>
      <c r="N8" s="63"/>
      <c r="O8" s="63"/>
      <c r="P8" s="63"/>
      <c r="Q8" s="63"/>
      <c r="R8" s="61">
        <f>SUM(N8:Q8)</f>
        <v>0</v>
      </c>
      <c r="S8" s="63"/>
      <c r="T8" s="63"/>
      <c r="U8" s="63"/>
      <c r="V8" s="63"/>
      <c r="W8" s="61">
        <f>SUM(S8:V8)</f>
        <v>0</v>
      </c>
      <c r="X8" s="63"/>
      <c r="Y8" s="63"/>
      <c r="Z8" s="63"/>
      <c r="AA8" s="63"/>
      <c r="AB8" s="61">
        <f>SUM(X8:AA8)</f>
        <v>0</v>
      </c>
      <c r="AC8" s="63"/>
      <c r="AD8" s="63"/>
      <c r="AE8" s="63"/>
      <c r="AF8" s="63"/>
      <c r="AG8" s="61">
        <f>SUM(AC8:AF8)</f>
        <v>0</v>
      </c>
      <c r="AH8" s="63">
        <v>6</v>
      </c>
      <c r="AI8" s="63"/>
      <c r="AJ8" s="63"/>
      <c r="AK8" s="63"/>
      <c r="AL8" s="61">
        <f>SUM(AH8:AK8)</f>
        <v>6</v>
      </c>
      <c r="AM8" s="68">
        <f t="shared" si="0"/>
        <v>12</v>
      </c>
    </row>
    <row r="9" spans="1:39" x14ac:dyDescent="0.35">
      <c r="A9" s="66" t="s">
        <v>223</v>
      </c>
      <c r="B9" s="67" t="s">
        <v>224</v>
      </c>
      <c r="C9" s="66"/>
      <c r="D9" s="66">
        <f t="shared" ref="D9:AL9" si="1">SUM(D5:D8)</f>
        <v>24</v>
      </c>
      <c r="E9" s="66">
        <f t="shared" si="1"/>
        <v>0</v>
      </c>
      <c r="F9" s="66">
        <f t="shared" si="1"/>
        <v>0</v>
      </c>
      <c r="G9" s="66">
        <f t="shared" si="1"/>
        <v>0</v>
      </c>
      <c r="H9" s="61">
        <f t="shared" si="1"/>
        <v>24</v>
      </c>
      <c r="I9" s="66">
        <f t="shared" si="1"/>
        <v>0</v>
      </c>
      <c r="J9" s="66">
        <f t="shared" si="1"/>
        <v>0</v>
      </c>
      <c r="K9" s="66">
        <f t="shared" si="1"/>
        <v>0</v>
      </c>
      <c r="L9" s="66">
        <f t="shared" si="1"/>
        <v>0</v>
      </c>
      <c r="M9" s="61">
        <f t="shared" si="1"/>
        <v>0</v>
      </c>
      <c r="N9" s="66">
        <f t="shared" si="1"/>
        <v>3</v>
      </c>
      <c r="O9" s="66">
        <f t="shared" si="1"/>
        <v>0</v>
      </c>
      <c r="P9" s="66">
        <f t="shared" si="1"/>
        <v>0</v>
      </c>
      <c r="Q9" s="66">
        <f t="shared" si="1"/>
        <v>0</v>
      </c>
      <c r="R9" s="61">
        <f t="shared" si="1"/>
        <v>3</v>
      </c>
      <c r="S9" s="66">
        <f t="shared" si="1"/>
        <v>0</v>
      </c>
      <c r="T9" s="66">
        <f t="shared" si="1"/>
        <v>0</v>
      </c>
      <c r="U9" s="66">
        <f t="shared" si="1"/>
        <v>0</v>
      </c>
      <c r="V9" s="66">
        <f t="shared" si="1"/>
        <v>0</v>
      </c>
      <c r="W9" s="61">
        <f t="shared" si="1"/>
        <v>0</v>
      </c>
      <c r="X9" s="66">
        <f t="shared" si="1"/>
        <v>0</v>
      </c>
      <c r="Y9" s="66">
        <f t="shared" si="1"/>
        <v>0</v>
      </c>
      <c r="Z9" s="66">
        <f t="shared" si="1"/>
        <v>0</v>
      </c>
      <c r="AA9" s="66">
        <f t="shared" si="1"/>
        <v>0</v>
      </c>
      <c r="AB9" s="61">
        <f t="shared" si="1"/>
        <v>0</v>
      </c>
      <c r="AC9" s="58">
        <f t="shared" si="1"/>
        <v>0</v>
      </c>
      <c r="AD9" s="58">
        <f t="shared" si="1"/>
        <v>0</v>
      </c>
      <c r="AE9" s="58">
        <f t="shared" si="1"/>
        <v>0</v>
      </c>
      <c r="AF9" s="58">
        <f t="shared" si="1"/>
        <v>0</v>
      </c>
      <c r="AG9" s="61">
        <f t="shared" si="1"/>
        <v>0</v>
      </c>
      <c r="AH9" s="58">
        <f t="shared" si="1"/>
        <v>24</v>
      </c>
      <c r="AI9" s="58">
        <f t="shared" si="1"/>
        <v>0</v>
      </c>
      <c r="AJ9" s="58">
        <f t="shared" si="1"/>
        <v>0</v>
      </c>
      <c r="AK9" s="58">
        <f t="shared" si="1"/>
        <v>0</v>
      </c>
      <c r="AL9" s="61">
        <f t="shared" si="1"/>
        <v>24</v>
      </c>
      <c r="AM9" s="68">
        <f t="shared" si="0"/>
        <v>51</v>
      </c>
    </row>
    <row r="10" spans="1:39" hidden="1" x14ac:dyDescent="0.35">
      <c r="A10" s="59" t="s">
        <v>230</v>
      </c>
      <c r="B10" s="54">
        <v>23</v>
      </c>
      <c r="C10" s="60" t="s">
        <v>225</v>
      </c>
      <c r="D10" s="60">
        <v>1</v>
      </c>
      <c r="E10" s="60"/>
      <c r="F10" s="60"/>
      <c r="G10" s="60"/>
      <c r="H10" s="61">
        <f>SUM(D10:G10)</f>
        <v>1</v>
      </c>
      <c r="I10" s="60"/>
      <c r="J10" s="60"/>
      <c r="K10" s="60"/>
      <c r="L10" s="60"/>
      <c r="M10" s="61">
        <f>SUM(I10:L10)</f>
        <v>0</v>
      </c>
      <c r="N10" s="60"/>
      <c r="O10" s="60"/>
      <c r="P10" s="60"/>
      <c r="Q10" s="60"/>
      <c r="R10" s="61">
        <f>SUM(N10:Q10)</f>
        <v>0</v>
      </c>
      <c r="S10" s="60"/>
      <c r="T10" s="60"/>
      <c r="U10" s="60"/>
      <c r="V10" s="60"/>
      <c r="W10" s="61">
        <f>SUM(S10:V10)</f>
        <v>0</v>
      </c>
      <c r="X10" s="60"/>
      <c r="Y10" s="60"/>
      <c r="Z10" s="60"/>
      <c r="AA10" s="60"/>
      <c r="AB10" s="61">
        <f>SUM(X10:AA10)</f>
        <v>0</v>
      </c>
      <c r="AC10" s="60"/>
      <c r="AD10" s="60"/>
      <c r="AE10" s="60"/>
      <c r="AF10" s="60"/>
      <c r="AG10" s="61">
        <f>SUM(AC10:AF10)</f>
        <v>0</v>
      </c>
      <c r="AH10" s="60"/>
      <c r="AI10" s="60"/>
      <c r="AJ10" s="60"/>
      <c r="AK10" s="60"/>
      <c r="AL10" s="61">
        <f>SUM(AH10:AK10)</f>
        <v>0</v>
      </c>
      <c r="AM10" s="68">
        <f t="shared" si="0"/>
        <v>1</v>
      </c>
    </row>
    <row r="11" spans="1:39" hidden="1" x14ac:dyDescent="0.35">
      <c r="A11" s="113" t="s">
        <v>380</v>
      </c>
      <c r="B11" s="54"/>
      <c r="C11" s="63" t="s">
        <v>227</v>
      </c>
      <c r="D11" s="63"/>
      <c r="E11" s="63"/>
      <c r="F11" s="63"/>
      <c r="G11" s="63"/>
      <c r="H11" s="61">
        <f>SUM(D11:G11)</f>
        <v>0</v>
      </c>
      <c r="I11" s="63"/>
      <c r="J11" s="63"/>
      <c r="K11" s="63"/>
      <c r="L11" s="63"/>
      <c r="M11" s="61">
        <f>SUM(I11:L11)</f>
        <v>0</v>
      </c>
      <c r="N11" s="63"/>
      <c r="O11" s="63"/>
      <c r="P11" s="63"/>
      <c r="Q11" s="63"/>
      <c r="R11" s="61">
        <f>SUM(N11:Q11)</f>
        <v>0</v>
      </c>
      <c r="S11" s="63"/>
      <c r="T11" s="63"/>
      <c r="U11" s="63"/>
      <c r="V11" s="63"/>
      <c r="W11" s="61">
        <f>SUM(S11:V11)</f>
        <v>0</v>
      </c>
      <c r="X11" s="63"/>
      <c r="Y11" s="63"/>
      <c r="Z11" s="63"/>
      <c r="AA11" s="63"/>
      <c r="AB11" s="61">
        <f>SUM(X11:AA11)</f>
        <v>0</v>
      </c>
      <c r="AC11" s="63"/>
      <c r="AD11" s="63"/>
      <c r="AE11" s="63"/>
      <c r="AF11" s="63"/>
      <c r="AG11" s="61">
        <f>SUM(AC11:AF11)</f>
        <v>0</v>
      </c>
      <c r="AH11" s="63"/>
      <c r="AI11" s="63"/>
      <c r="AJ11" s="63"/>
      <c r="AK11" s="63"/>
      <c r="AL11" s="61">
        <f>SUM(AH11:AK11)</f>
        <v>0</v>
      </c>
      <c r="AM11" s="68">
        <f t="shared" si="0"/>
        <v>0</v>
      </c>
    </row>
    <row r="12" spans="1:39" hidden="1" x14ac:dyDescent="0.35">
      <c r="A12" s="113"/>
      <c r="B12" s="54"/>
      <c r="C12" s="60" t="s">
        <v>228</v>
      </c>
      <c r="D12" s="60"/>
      <c r="E12" s="60"/>
      <c r="F12" s="60"/>
      <c r="G12" s="60"/>
      <c r="H12" s="61">
        <f>SUM(D12:G12)</f>
        <v>0</v>
      </c>
      <c r="I12" s="60"/>
      <c r="J12" s="60"/>
      <c r="K12" s="60"/>
      <c r="L12" s="60"/>
      <c r="M12" s="61">
        <f>SUM(I12:L12)</f>
        <v>0</v>
      </c>
      <c r="N12" s="60"/>
      <c r="O12" s="60"/>
      <c r="P12" s="60"/>
      <c r="Q12" s="60"/>
      <c r="R12" s="61">
        <f>SUM(N12:Q12)</f>
        <v>0</v>
      </c>
      <c r="S12" s="60"/>
      <c r="T12" s="60"/>
      <c r="U12" s="60"/>
      <c r="V12" s="60"/>
      <c r="W12" s="61">
        <f>SUM(S12:V12)</f>
        <v>0</v>
      </c>
      <c r="X12" s="60"/>
      <c r="Y12" s="60"/>
      <c r="Z12" s="60"/>
      <c r="AA12" s="60"/>
      <c r="AB12" s="61">
        <f>SUM(X12:AA12)</f>
        <v>0</v>
      </c>
      <c r="AC12" s="60"/>
      <c r="AD12" s="60"/>
      <c r="AE12" s="60"/>
      <c r="AF12" s="60"/>
      <c r="AG12" s="61">
        <f>SUM(AC12:AF12)</f>
        <v>0</v>
      </c>
      <c r="AH12" s="60"/>
      <c r="AI12" s="60"/>
      <c r="AJ12" s="60"/>
      <c r="AK12" s="60"/>
      <c r="AL12" s="61">
        <f>SUM(AH12:AK12)</f>
        <v>0</v>
      </c>
      <c r="AM12" s="68">
        <f t="shared" si="0"/>
        <v>0</v>
      </c>
    </row>
    <row r="13" spans="1:39" hidden="1" x14ac:dyDescent="0.35">
      <c r="B13" s="54"/>
      <c r="C13" s="69" t="s">
        <v>235</v>
      </c>
      <c r="D13" s="69"/>
      <c r="E13" s="69"/>
      <c r="F13" s="69"/>
      <c r="G13" s="69"/>
      <c r="H13" s="56">
        <f>SUM(D13:G13)</f>
        <v>0</v>
      </c>
      <c r="I13" s="69"/>
      <c r="J13" s="69"/>
      <c r="K13" s="69"/>
      <c r="L13" s="69"/>
      <c r="M13" s="56">
        <f>SUM(I13:L13)</f>
        <v>0</v>
      </c>
      <c r="N13" s="69"/>
      <c r="O13" s="69"/>
      <c r="P13" s="69"/>
      <c r="Q13" s="69"/>
      <c r="R13" s="56">
        <f>SUM(N13:Q13)</f>
        <v>0</v>
      </c>
      <c r="S13" s="69"/>
      <c r="T13" s="69"/>
      <c r="U13" s="69"/>
      <c r="V13" s="69"/>
      <c r="W13" s="56">
        <f>SUM(S13:V13)</f>
        <v>0</v>
      </c>
      <c r="X13" s="69"/>
      <c r="Y13" s="69"/>
      <c r="Z13" s="69"/>
      <c r="AA13" s="69"/>
      <c r="AB13" s="56">
        <f>SUM(X13:AA13)</f>
        <v>0</v>
      </c>
      <c r="AC13" s="69"/>
      <c r="AD13" s="69"/>
      <c r="AE13" s="69"/>
      <c r="AF13" s="69"/>
      <c r="AG13" s="56">
        <f>SUM(AC13:AF13)</f>
        <v>0</v>
      </c>
      <c r="AH13" s="69"/>
      <c r="AI13" s="69"/>
      <c r="AJ13" s="69"/>
      <c r="AK13" s="69"/>
      <c r="AL13" s="56">
        <f>SUM(AH13:AK13)</f>
        <v>0</v>
      </c>
      <c r="AM13" s="74">
        <f t="shared" si="0"/>
        <v>0</v>
      </c>
    </row>
    <row r="14" spans="1:39" x14ac:dyDescent="0.35">
      <c r="A14" s="66" t="s">
        <v>230</v>
      </c>
      <c r="B14" s="67">
        <v>23</v>
      </c>
      <c r="C14" s="66"/>
      <c r="D14" s="66">
        <f t="shared" ref="D14:AL14" si="2">SUM(D10:D13)</f>
        <v>1</v>
      </c>
      <c r="E14" s="66">
        <f t="shared" si="2"/>
        <v>0</v>
      </c>
      <c r="F14" s="66">
        <f t="shared" si="2"/>
        <v>0</v>
      </c>
      <c r="G14" s="66">
        <f t="shared" si="2"/>
        <v>0</v>
      </c>
      <c r="H14" s="61">
        <f t="shared" si="2"/>
        <v>1</v>
      </c>
      <c r="I14" s="66">
        <f t="shared" si="2"/>
        <v>0</v>
      </c>
      <c r="J14" s="66">
        <f t="shared" si="2"/>
        <v>0</v>
      </c>
      <c r="K14" s="66">
        <f t="shared" si="2"/>
        <v>0</v>
      </c>
      <c r="L14" s="66">
        <f t="shared" si="2"/>
        <v>0</v>
      </c>
      <c r="M14" s="61">
        <f t="shared" si="2"/>
        <v>0</v>
      </c>
      <c r="N14" s="66">
        <f t="shared" si="2"/>
        <v>0</v>
      </c>
      <c r="O14" s="66">
        <f t="shared" si="2"/>
        <v>0</v>
      </c>
      <c r="P14" s="66">
        <f t="shared" si="2"/>
        <v>0</v>
      </c>
      <c r="Q14" s="66">
        <f t="shared" si="2"/>
        <v>0</v>
      </c>
      <c r="R14" s="61">
        <f t="shared" si="2"/>
        <v>0</v>
      </c>
      <c r="S14" s="66">
        <f t="shared" si="2"/>
        <v>0</v>
      </c>
      <c r="T14" s="66">
        <f t="shared" si="2"/>
        <v>0</v>
      </c>
      <c r="U14" s="66">
        <f t="shared" si="2"/>
        <v>0</v>
      </c>
      <c r="V14" s="66">
        <f t="shared" si="2"/>
        <v>0</v>
      </c>
      <c r="W14" s="61">
        <f t="shared" si="2"/>
        <v>0</v>
      </c>
      <c r="X14" s="66">
        <f t="shared" si="2"/>
        <v>0</v>
      </c>
      <c r="Y14" s="66">
        <f t="shared" si="2"/>
        <v>0</v>
      </c>
      <c r="Z14" s="66">
        <f t="shared" si="2"/>
        <v>0</v>
      </c>
      <c r="AA14" s="66">
        <f t="shared" si="2"/>
        <v>0</v>
      </c>
      <c r="AB14" s="61">
        <f t="shared" si="2"/>
        <v>0</v>
      </c>
      <c r="AC14" s="66">
        <f t="shared" si="2"/>
        <v>0</v>
      </c>
      <c r="AD14" s="66">
        <f t="shared" si="2"/>
        <v>0</v>
      </c>
      <c r="AE14" s="66">
        <f t="shared" si="2"/>
        <v>0</v>
      </c>
      <c r="AF14" s="66">
        <f t="shared" si="2"/>
        <v>0</v>
      </c>
      <c r="AG14" s="61">
        <f t="shared" si="2"/>
        <v>0</v>
      </c>
      <c r="AH14" s="66">
        <f t="shared" si="2"/>
        <v>0</v>
      </c>
      <c r="AI14" s="66">
        <f t="shared" si="2"/>
        <v>0</v>
      </c>
      <c r="AJ14" s="66">
        <f t="shared" si="2"/>
        <v>0</v>
      </c>
      <c r="AK14" s="66">
        <f t="shared" si="2"/>
        <v>0</v>
      </c>
      <c r="AL14" s="61">
        <f t="shared" si="2"/>
        <v>0</v>
      </c>
      <c r="AM14" s="68">
        <f t="shared" si="0"/>
        <v>1</v>
      </c>
    </row>
    <row r="15" spans="1:39" hidden="1" x14ac:dyDescent="0.35">
      <c r="A15" s="59" t="s">
        <v>232</v>
      </c>
      <c r="B15" s="54" t="s">
        <v>233</v>
      </c>
      <c r="C15" s="60" t="s">
        <v>225</v>
      </c>
      <c r="D15" s="60"/>
      <c r="E15" s="60"/>
      <c r="F15" s="60"/>
      <c r="G15" s="60"/>
      <c r="H15" s="61">
        <f>SUM(D15:G15)</f>
        <v>0</v>
      </c>
      <c r="I15" s="60"/>
      <c r="J15" s="60"/>
      <c r="K15" s="60"/>
      <c r="L15" s="60"/>
      <c r="M15" s="61">
        <f>SUM(I15:L15)</f>
        <v>0</v>
      </c>
      <c r="N15" s="60"/>
      <c r="O15" s="60"/>
      <c r="P15" s="60"/>
      <c r="Q15" s="60"/>
      <c r="R15" s="61">
        <f>SUM(N15:Q15)</f>
        <v>0</v>
      </c>
      <c r="S15" s="60"/>
      <c r="T15" s="60"/>
      <c r="U15" s="60"/>
      <c r="V15" s="60"/>
      <c r="W15" s="61">
        <f>SUM(S15:V15)</f>
        <v>0</v>
      </c>
      <c r="X15" s="60"/>
      <c r="Y15" s="60"/>
      <c r="Z15" s="60"/>
      <c r="AA15" s="60"/>
      <c r="AB15" s="61">
        <f>SUM(X15:AA15)</f>
        <v>0</v>
      </c>
      <c r="AC15" s="60"/>
      <c r="AD15" s="60"/>
      <c r="AE15" s="60"/>
      <c r="AF15" s="60"/>
      <c r="AG15" s="61">
        <f>SUM(AC15:AF15)</f>
        <v>0</v>
      </c>
      <c r="AH15" s="60"/>
      <c r="AI15" s="60"/>
      <c r="AJ15" s="60"/>
      <c r="AK15" s="60"/>
      <c r="AL15" s="61">
        <f>SUM(AH15:AK15)</f>
        <v>0</v>
      </c>
      <c r="AM15" s="68">
        <f t="shared" si="0"/>
        <v>0</v>
      </c>
    </row>
    <row r="16" spans="1:39" hidden="1" x14ac:dyDescent="0.35">
      <c r="A16" s="113" t="s">
        <v>234</v>
      </c>
      <c r="B16" s="54"/>
      <c r="C16" s="63" t="s">
        <v>227</v>
      </c>
      <c r="D16" s="63"/>
      <c r="E16" s="63"/>
      <c r="F16" s="63"/>
      <c r="G16" s="63"/>
      <c r="H16" s="61">
        <f>SUM(D16:G16)</f>
        <v>0</v>
      </c>
      <c r="I16" s="63"/>
      <c r="J16" s="63"/>
      <c r="K16" s="63"/>
      <c r="L16" s="63"/>
      <c r="M16" s="61">
        <f>SUM(I16:L16)</f>
        <v>0</v>
      </c>
      <c r="N16" s="63"/>
      <c r="O16" s="63"/>
      <c r="P16" s="63"/>
      <c r="Q16" s="63"/>
      <c r="R16" s="61">
        <f>SUM(N16:Q16)</f>
        <v>0</v>
      </c>
      <c r="S16" s="63"/>
      <c r="T16" s="63"/>
      <c r="U16" s="63"/>
      <c r="V16" s="63"/>
      <c r="W16" s="61">
        <f>SUM(S16:V16)</f>
        <v>0</v>
      </c>
      <c r="X16" s="63"/>
      <c r="Y16" s="63"/>
      <c r="Z16" s="63"/>
      <c r="AA16" s="63"/>
      <c r="AB16" s="61">
        <f>SUM(X16:AA16)</f>
        <v>0</v>
      </c>
      <c r="AC16" s="63"/>
      <c r="AD16" s="63"/>
      <c r="AE16" s="63"/>
      <c r="AF16" s="63"/>
      <c r="AG16" s="61">
        <f>SUM(AC16:AF16)</f>
        <v>0</v>
      </c>
      <c r="AH16" s="63"/>
      <c r="AI16" s="63"/>
      <c r="AJ16" s="63"/>
      <c r="AK16" s="63"/>
      <c r="AL16" s="61">
        <f>SUM(AH16:AK16)</f>
        <v>0</v>
      </c>
      <c r="AM16" s="68">
        <f t="shared" si="0"/>
        <v>0</v>
      </c>
    </row>
    <row r="17" spans="1:39" hidden="1" x14ac:dyDescent="0.35">
      <c r="A17" s="113"/>
      <c r="B17" s="54"/>
      <c r="C17" s="60" t="s">
        <v>228</v>
      </c>
      <c r="D17" s="60"/>
      <c r="E17" s="60"/>
      <c r="F17" s="60"/>
      <c r="G17" s="60"/>
      <c r="H17" s="61">
        <f>SUM(D17:G17)</f>
        <v>0</v>
      </c>
      <c r="I17" s="60"/>
      <c r="J17" s="60"/>
      <c r="K17" s="60"/>
      <c r="L17" s="60"/>
      <c r="M17" s="61">
        <f>SUM(I17:L17)</f>
        <v>0</v>
      </c>
      <c r="N17" s="60"/>
      <c r="O17" s="60"/>
      <c r="P17" s="60"/>
      <c r="Q17" s="60"/>
      <c r="R17" s="61">
        <f>SUM(N17:Q17)</f>
        <v>0</v>
      </c>
      <c r="S17" s="60"/>
      <c r="T17" s="60"/>
      <c r="U17" s="60"/>
      <c r="V17" s="60"/>
      <c r="W17" s="61">
        <f>SUM(S17:V17)</f>
        <v>0</v>
      </c>
      <c r="X17" s="60"/>
      <c r="Y17" s="60"/>
      <c r="Z17" s="60"/>
      <c r="AA17" s="60"/>
      <c r="AB17" s="61">
        <f>SUM(X17:AA17)</f>
        <v>0</v>
      </c>
      <c r="AC17" s="60"/>
      <c r="AD17" s="60"/>
      <c r="AE17" s="60"/>
      <c r="AF17" s="60"/>
      <c r="AG17" s="61">
        <f>SUM(AC17:AF17)</f>
        <v>0</v>
      </c>
      <c r="AH17" s="60"/>
      <c r="AI17" s="60"/>
      <c r="AJ17" s="60"/>
      <c r="AK17" s="60"/>
      <c r="AL17" s="61">
        <f>SUM(AH17:AK17)</f>
        <v>0</v>
      </c>
      <c r="AM17" s="68">
        <f t="shared" si="0"/>
        <v>0</v>
      </c>
    </row>
    <row r="18" spans="1:39" hidden="1" x14ac:dyDescent="0.35">
      <c r="B18" s="54"/>
      <c r="C18" s="69" t="s">
        <v>235</v>
      </c>
      <c r="D18" s="69"/>
      <c r="E18" s="69"/>
      <c r="F18" s="69"/>
      <c r="G18" s="69"/>
      <c r="H18" s="56">
        <f>SUM(D18:G18)</f>
        <v>0</v>
      </c>
      <c r="I18" s="69"/>
      <c r="J18" s="69"/>
      <c r="K18" s="69"/>
      <c r="L18" s="69"/>
      <c r="M18" s="56">
        <f>SUM(I18:L18)</f>
        <v>0</v>
      </c>
      <c r="N18" s="69"/>
      <c r="O18" s="69"/>
      <c r="P18" s="69"/>
      <c r="Q18" s="69"/>
      <c r="R18" s="56">
        <f>SUM(N18:Q18)</f>
        <v>0</v>
      </c>
      <c r="S18" s="69"/>
      <c r="T18" s="69"/>
      <c r="U18" s="69"/>
      <c r="V18" s="69"/>
      <c r="W18" s="56">
        <f>SUM(S18:V18)</f>
        <v>0</v>
      </c>
      <c r="X18" s="69"/>
      <c r="Y18" s="69"/>
      <c r="Z18" s="69"/>
      <c r="AA18" s="69"/>
      <c r="AB18" s="56">
        <f>SUM(X18:AA18)</f>
        <v>0</v>
      </c>
      <c r="AC18" s="69"/>
      <c r="AD18" s="69"/>
      <c r="AE18" s="69"/>
      <c r="AF18" s="69"/>
      <c r="AG18" s="56">
        <f>SUM(AC18:AF18)</f>
        <v>0</v>
      </c>
      <c r="AH18" s="69"/>
      <c r="AI18" s="69"/>
      <c r="AJ18" s="69"/>
      <c r="AK18" s="69"/>
      <c r="AL18" s="56">
        <f>SUM(AH18:AK18)</f>
        <v>0</v>
      </c>
      <c r="AM18" s="74">
        <f t="shared" si="0"/>
        <v>0</v>
      </c>
    </row>
    <row r="19" spans="1:39" x14ac:dyDescent="0.35">
      <c r="A19" s="66" t="s">
        <v>236</v>
      </c>
      <c r="B19" s="67" t="s">
        <v>233</v>
      </c>
      <c r="C19" s="66"/>
      <c r="D19" s="66">
        <f t="shared" ref="D19:AL19" si="3">SUM(D15:D18)</f>
        <v>0</v>
      </c>
      <c r="E19" s="66">
        <f t="shared" si="3"/>
        <v>0</v>
      </c>
      <c r="F19" s="66">
        <f t="shared" si="3"/>
        <v>0</v>
      </c>
      <c r="G19" s="66">
        <f t="shared" si="3"/>
        <v>0</v>
      </c>
      <c r="H19" s="61">
        <f t="shared" si="3"/>
        <v>0</v>
      </c>
      <c r="I19" s="66">
        <f t="shared" si="3"/>
        <v>0</v>
      </c>
      <c r="J19" s="66">
        <f t="shared" si="3"/>
        <v>0</v>
      </c>
      <c r="K19" s="66">
        <f t="shared" si="3"/>
        <v>0</v>
      </c>
      <c r="L19" s="66">
        <f t="shared" si="3"/>
        <v>0</v>
      </c>
      <c r="M19" s="61">
        <f t="shared" si="3"/>
        <v>0</v>
      </c>
      <c r="N19" s="66">
        <f t="shared" si="3"/>
        <v>0</v>
      </c>
      <c r="O19" s="66">
        <f t="shared" si="3"/>
        <v>0</v>
      </c>
      <c r="P19" s="66">
        <f t="shared" si="3"/>
        <v>0</v>
      </c>
      <c r="Q19" s="66">
        <f t="shared" si="3"/>
        <v>0</v>
      </c>
      <c r="R19" s="61">
        <f t="shared" si="3"/>
        <v>0</v>
      </c>
      <c r="S19" s="66">
        <f t="shared" si="3"/>
        <v>0</v>
      </c>
      <c r="T19" s="66">
        <f t="shared" si="3"/>
        <v>0</v>
      </c>
      <c r="U19" s="66">
        <f t="shared" si="3"/>
        <v>0</v>
      </c>
      <c r="V19" s="66">
        <f t="shared" si="3"/>
        <v>0</v>
      </c>
      <c r="W19" s="61">
        <f t="shared" si="3"/>
        <v>0</v>
      </c>
      <c r="X19" s="66">
        <f t="shared" si="3"/>
        <v>0</v>
      </c>
      <c r="Y19" s="66">
        <f t="shared" si="3"/>
        <v>0</v>
      </c>
      <c r="Z19" s="66">
        <f t="shared" si="3"/>
        <v>0</v>
      </c>
      <c r="AA19" s="66">
        <f t="shared" si="3"/>
        <v>0</v>
      </c>
      <c r="AB19" s="61">
        <f t="shared" si="3"/>
        <v>0</v>
      </c>
      <c r="AC19" s="66">
        <f t="shared" si="3"/>
        <v>0</v>
      </c>
      <c r="AD19" s="66">
        <f t="shared" si="3"/>
        <v>0</v>
      </c>
      <c r="AE19" s="66">
        <f t="shared" si="3"/>
        <v>0</v>
      </c>
      <c r="AF19" s="66">
        <f t="shared" si="3"/>
        <v>0</v>
      </c>
      <c r="AG19" s="61">
        <f t="shared" si="3"/>
        <v>0</v>
      </c>
      <c r="AH19" s="66">
        <f t="shared" si="3"/>
        <v>0</v>
      </c>
      <c r="AI19" s="66">
        <f t="shared" si="3"/>
        <v>0</v>
      </c>
      <c r="AJ19" s="66">
        <f t="shared" si="3"/>
        <v>0</v>
      </c>
      <c r="AK19" s="66">
        <f t="shared" si="3"/>
        <v>0</v>
      </c>
      <c r="AL19" s="61">
        <f t="shared" si="3"/>
        <v>0</v>
      </c>
      <c r="AM19" s="68">
        <f t="shared" si="0"/>
        <v>0</v>
      </c>
    </row>
    <row r="20" spans="1:39" hidden="1" x14ac:dyDescent="0.35">
      <c r="A20" s="59" t="s">
        <v>237</v>
      </c>
      <c r="B20" s="54">
        <v>13</v>
      </c>
      <c r="C20" s="60" t="s">
        <v>225</v>
      </c>
      <c r="D20" s="60">
        <v>4</v>
      </c>
      <c r="E20" s="60"/>
      <c r="F20" s="60"/>
      <c r="G20" s="60"/>
      <c r="H20" s="61">
        <f>SUM(D20:G20)</f>
        <v>4</v>
      </c>
      <c r="I20" s="60"/>
      <c r="J20" s="60"/>
      <c r="K20" s="60"/>
      <c r="L20" s="60"/>
      <c r="M20" s="61">
        <f>SUM(I20:L20)</f>
        <v>0</v>
      </c>
      <c r="N20" s="60"/>
      <c r="O20" s="60"/>
      <c r="P20" s="60"/>
      <c r="Q20" s="60"/>
      <c r="R20" s="61">
        <f>SUM(N20:Q20)</f>
        <v>0</v>
      </c>
      <c r="S20" s="60"/>
      <c r="T20" s="60"/>
      <c r="U20" s="60"/>
      <c r="V20" s="60"/>
      <c r="W20" s="61">
        <f>SUM(S20:V20)</f>
        <v>0</v>
      </c>
      <c r="X20" s="60"/>
      <c r="Y20" s="60"/>
      <c r="Z20" s="60"/>
      <c r="AA20" s="60"/>
      <c r="AB20" s="61">
        <f>SUM(X20:AA20)</f>
        <v>0</v>
      </c>
      <c r="AC20" s="60">
        <v>1</v>
      </c>
      <c r="AD20" s="60"/>
      <c r="AE20" s="60"/>
      <c r="AF20" s="60"/>
      <c r="AG20" s="61">
        <f>SUM(AC20:AF20)</f>
        <v>1</v>
      </c>
      <c r="AH20" s="60">
        <v>2</v>
      </c>
      <c r="AI20" s="60"/>
      <c r="AJ20" s="60"/>
      <c r="AK20" s="60"/>
      <c r="AL20" s="61">
        <f>SUM(AH20:AK20)</f>
        <v>2</v>
      </c>
      <c r="AM20" s="68">
        <f t="shared" si="0"/>
        <v>7</v>
      </c>
    </row>
    <row r="21" spans="1:39" hidden="1" x14ac:dyDescent="0.35">
      <c r="A21" s="114" t="s">
        <v>238</v>
      </c>
      <c r="B21" s="54"/>
      <c r="C21" s="63" t="s">
        <v>239</v>
      </c>
      <c r="D21" s="63">
        <v>6</v>
      </c>
      <c r="E21" s="63"/>
      <c r="F21" s="63"/>
      <c r="G21" s="63"/>
      <c r="H21" s="61">
        <f>SUM(D21:G21)</f>
        <v>6</v>
      </c>
      <c r="I21" s="63"/>
      <c r="J21" s="63"/>
      <c r="K21" s="63"/>
      <c r="L21" s="63"/>
      <c r="M21" s="61">
        <f>SUM(I21:L21)</f>
        <v>0</v>
      </c>
      <c r="N21" s="63"/>
      <c r="O21" s="63"/>
      <c r="P21" s="63"/>
      <c r="Q21" s="63"/>
      <c r="R21" s="61">
        <f>SUM(N21:Q21)</f>
        <v>0</v>
      </c>
      <c r="S21" s="63"/>
      <c r="T21" s="63"/>
      <c r="U21" s="63"/>
      <c r="V21" s="63"/>
      <c r="W21" s="61">
        <f>SUM(S21:V21)</f>
        <v>0</v>
      </c>
      <c r="X21" s="63"/>
      <c r="Y21" s="63"/>
      <c r="Z21" s="63"/>
      <c r="AA21" s="63"/>
      <c r="AB21" s="61">
        <f>SUM(X21:AA21)</f>
        <v>0</v>
      </c>
      <c r="AC21" s="63"/>
      <c r="AD21" s="63"/>
      <c r="AE21" s="63"/>
      <c r="AF21" s="63"/>
      <c r="AG21" s="61">
        <f>SUM(AC21:AF21)</f>
        <v>0</v>
      </c>
      <c r="AH21" s="63"/>
      <c r="AI21" s="63"/>
      <c r="AJ21" s="63"/>
      <c r="AK21" s="63"/>
      <c r="AL21" s="61">
        <f>SUM(AH21:AK21)</f>
        <v>0</v>
      </c>
      <c r="AM21" s="68">
        <f t="shared" si="0"/>
        <v>6</v>
      </c>
    </row>
    <row r="22" spans="1:39" hidden="1" x14ac:dyDescent="0.35">
      <c r="A22" s="114"/>
      <c r="B22" s="54"/>
      <c r="C22" s="60" t="s">
        <v>228</v>
      </c>
      <c r="D22" s="60">
        <v>7</v>
      </c>
      <c r="E22" s="60"/>
      <c r="F22" s="60"/>
      <c r="G22" s="60"/>
      <c r="H22" s="61">
        <f>SUM(D22:G22)</f>
        <v>7</v>
      </c>
      <c r="I22" s="60">
        <v>2</v>
      </c>
      <c r="J22" s="60"/>
      <c r="K22" s="60"/>
      <c r="L22" s="60"/>
      <c r="M22" s="61">
        <f>SUM(I22:L22)</f>
        <v>2</v>
      </c>
      <c r="N22" s="60"/>
      <c r="O22" s="60"/>
      <c r="P22" s="60"/>
      <c r="Q22" s="60"/>
      <c r="R22" s="61">
        <f>SUM(N22:Q22)</f>
        <v>0</v>
      </c>
      <c r="S22" s="60"/>
      <c r="T22" s="60"/>
      <c r="U22" s="60"/>
      <c r="V22" s="60"/>
      <c r="W22" s="61">
        <f>SUM(S22:V22)</f>
        <v>0</v>
      </c>
      <c r="X22" s="60"/>
      <c r="Y22" s="60"/>
      <c r="Z22" s="60"/>
      <c r="AA22" s="60"/>
      <c r="AB22" s="61">
        <f>SUM(X22:AA22)</f>
        <v>0</v>
      </c>
      <c r="AC22" s="60">
        <v>1</v>
      </c>
      <c r="AD22" s="60"/>
      <c r="AE22" s="60"/>
      <c r="AF22" s="60"/>
      <c r="AG22" s="61">
        <f>SUM(AC22:AF22)</f>
        <v>1</v>
      </c>
      <c r="AH22" s="60"/>
      <c r="AI22" s="60"/>
      <c r="AJ22" s="60"/>
      <c r="AK22" s="60"/>
      <c r="AL22" s="61">
        <f>SUM(AH22:AK22)</f>
        <v>0</v>
      </c>
      <c r="AM22" s="68">
        <f t="shared" si="0"/>
        <v>10</v>
      </c>
    </row>
    <row r="23" spans="1:39" hidden="1" x14ac:dyDescent="0.35">
      <c r="B23" s="54"/>
      <c r="C23" s="63" t="s">
        <v>235</v>
      </c>
      <c r="D23" s="63">
        <v>8</v>
      </c>
      <c r="E23" s="63"/>
      <c r="F23" s="63"/>
      <c r="G23" s="63"/>
      <c r="H23" s="61">
        <f>SUM(D23:G23)</f>
        <v>8</v>
      </c>
      <c r="I23" s="63"/>
      <c r="J23" s="63"/>
      <c r="K23" s="63"/>
      <c r="L23" s="63"/>
      <c r="M23" s="61">
        <f>SUM(I23:L23)</f>
        <v>0</v>
      </c>
      <c r="N23" s="63"/>
      <c r="O23" s="63"/>
      <c r="P23" s="63"/>
      <c r="Q23" s="63"/>
      <c r="R23" s="61">
        <f>SUM(N23:Q23)</f>
        <v>0</v>
      </c>
      <c r="S23" s="63"/>
      <c r="T23" s="63"/>
      <c r="U23" s="63"/>
      <c r="V23" s="63"/>
      <c r="W23" s="61">
        <f>SUM(S23:V23)</f>
        <v>0</v>
      </c>
      <c r="X23" s="63"/>
      <c r="Y23" s="63"/>
      <c r="Z23" s="63"/>
      <c r="AA23" s="63"/>
      <c r="AB23" s="61">
        <f>SUM(X23:AA23)</f>
        <v>0</v>
      </c>
      <c r="AC23" s="63">
        <v>1</v>
      </c>
      <c r="AD23" s="63"/>
      <c r="AE23" s="63"/>
      <c r="AF23" s="63"/>
      <c r="AG23" s="61">
        <f>SUM(AC23:AF23)</f>
        <v>1</v>
      </c>
      <c r="AH23" s="63">
        <v>2</v>
      </c>
      <c r="AI23" s="63"/>
      <c r="AJ23" s="63"/>
      <c r="AK23" s="63"/>
      <c r="AL23" s="61">
        <f>SUM(AH23:AK23)</f>
        <v>2</v>
      </c>
      <c r="AM23" s="68">
        <f t="shared" si="0"/>
        <v>11</v>
      </c>
    </row>
    <row r="24" spans="1:39" x14ac:dyDescent="0.35">
      <c r="A24" s="66" t="s">
        <v>237</v>
      </c>
      <c r="B24" s="70"/>
      <c r="C24" s="66"/>
      <c r="D24" s="66">
        <f t="shared" ref="D24:AL24" si="4">SUM(D20:D23)</f>
        <v>25</v>
      </c>
      <c r="E24" s="66">
        <f t="shared" si="4"/>
        <v>0</v>
      </c>
      <c r="F24" s="66">
        <f t="shared" si="4"/>
        <v>0</v>
      </c>
      <c r="G24" s="66">
        <f t="shared" si="4"/>
        <v>0</v>
      </c>
      <c r="H24" s="61">
        <f t="shared" si="4"/>
        <v>25</v>
      </c>
      <c r="I24" s="66">
        <f t="shared" si="4"/>
        <v>2</v>
      </c>
      <c r="J24" s="66">
        <f t="shared" si="4"/>
        <v>0</v>
      </c>
      <c r="K24" s="66">
        <f t="shared" si="4"/>
        <v>0</v>
      </c>
      <c r="L24" s="66">
        <f t="shared" si="4"/>
        <v>0</v>
      </c>
      <c r="M24" s="61">
        <f t="shared" si="4"/>
        <v>2</v>
      </c>
      <c r="N24" s="66">
        <f t="shared" si="4"/>
        <v>0</v>
      </c>
      <c r="O24" s="66">
        <f t="shared" si="4"/>
        <v>0</v>
      </c>
      <c r="P24" s="66">
        <f t="shared" si="4"/>
        <v>0</v>
      </c>
      <c r="Q24" s="66">
        <f t="shared" si="4"/>
        <v>0</v>
      </c>
      <c r="R24" s="61">
        <f t="shared" si="4"/>
        <v>0</v>
      </c>
      <c r="S24" s="66">
        <f t="shared" si="4"/>
        <v>0</v>
      </c>
      <c r="T24" s="66">
        <f t="shared" si="4"/>
        <v>0</v>
      </c>
      <c r="U24" s="66">
        <f t="shared" si="4"/>
        <v>0</v>
      </c>
      <c r="V24" s="66">
        <f t="shared" si="4"/>
        <v>0</v>
      </c>
      <c r="W24" s="61">
        <f t="shared" si="4"/>
        <v>0</v>
      </c>
      <c r="X24" s="66">
        <f t="shared" si="4"/>
        <v>0</v>
      </c>
      <c r="Y24" s="66">
        <f t="shared" si="4"/>
        <v>0</v>
      </c>
      <c r="Z24" s="66">
        <f t="shared" si="4"/>
        <v>0</v>
      </c>
      <c r="AA24" s="66">
        <f t="shared" si="4"/>
        <v>0</v>
      </c>
      <c r="AB24" s="61">
        <f t="shared" si="4"/>
        <v>0</v>
      </c>
      <c r="AC24" s="66">
        <f t="shared" si="4"/>
        <v>3</v>
      </c>
      <c r="AD24" s="66">
        <f t="shared" si="4"/>
        <v>0</v>
      </c>
      <c r="AE24" s="66">
        <f t="shared" si="4"/>
        <v>0</v>
      </c>
      <c r="AF24" s="66">
        <f t="shared" si="4"/>
        <v>0</v>
      </c>
      <c r="AG24" s="61">
        <f t="shared" si="4"/>
        <v>3</v>
      </c>
      <c r="AH24" s="66">
        <f t="shared" si="4"/>
        <v>4</v>
      </c>
      <c r="AI24" s="66">
        <f t="shared" si="4"/>
        <v>0</v>
      </c>
      <c r="AJ24" s="66">
        <f t="shared" si="4"/>
        <v>0</v>
      </c>
      <c r="AK24" s="66">
        <f t="shared" si="4"/>
        <v>0</v>
      </c>
      <c r="AL24" s="61">
        <f t="shared" si="4"/>
        <v>4</v>
      </c>
      <c r="AM24" s="68">
        <f t="shared" si="0"/>
        <v>34</v>
      </c>
    </row>
    <row r="25" spans="1:39" hidden="1" x14ac:dyDescent="0.35">
      <c r="A25" s="59" t="s">
        <v>241</v>
      </c>
      <c r="B25" s="54">
        <v>28</v>
      </c>
      <c r="C25" s="60" t="s">
        <v>225</v>
      </c>
      <c r="D25" s="60">
        <v>13</v>
      </c>
      <c r="E25" s="60">
        <v>3</v>
      </c>
      <c r="F25" s="60"/>
      <c r="G25" s="60"/>
      <c r="H25" s="61">
        <f>SUM(D25:G25)</f>
        <v>16</v>
      </c>
      <c r="I25" s="60">
        <v>1</v>
      </c>
      <c r="J25" s="60"/>
      <c r="K25" s="60"/>
      <c r="L25" s="60"/>
      <c r="M25" s="61">
        <f>SUM(I25:L25)</f>
        <v>1</v>
      </c>
      <c r="N25" s="60">
        <v>9</v>
      </c>
      <c r="O25" s="60">
        <v>1</v>
      </c>
      <c r="P25" s="60"/>
      <c r="Q25" s="60"/>
      <c r="R25" s="61">
        <f>SUM(N25:Q25)</f>
        <v>10</v>
      </c>
      <c r="S25" s="60"/>
      <c r="T25" s="60"/>
      <c r="U25" s="60"/>
      <c r="V25" s="60"/>
      <c r="W25" s="61">
        <f>SUM(S25:V25)</f>
        <v>0</v>
      </c>
      <c r="X25" s="60"/>
      <c r="Y25" s="60"/>
      <c r="Z25" s="60"/>
      <c r="AA25" s="60"/>
      <c r="AB25" s="61">
        <f>SUM(X25:AA25)</f>
        <v>0</v>
      </c>
      <c r="AC25" s="60">
        <v>3</v>
      </c>
      <c r="AD25" s="60"/>
      <c r="AE25" s="60"/>
      <c r="AF25" s="60"/>
      <c r="AG25" s="61">
        <f>SUM(AC25:AF25)</f>
        <v>3</v>
      </c>
      <c r="AH25" s="60">
        <v>2</v>
      </c>
      <c r="AI25" s="60"/>
      <c r="AJ25" s="60"/>
      <c r="AK25" s="60"/>
      <c r="AL25" s="61">
        <f>SUM(AH25:AK25)</f>
        <v>2</v>
      </c>
      <c r="AM25" s="68">
        <f t="shared" si="0"/>
        <v>32</v>
      </c>
    </row>
    <row r="26" spans="1:39" hidden="1" x14ac:dyDescent="0.35">
      <c r="A26" s="114" t="s">
        <v>242</v>
      </c>
      <c r="B26" s="54"/>
      <c r="C26" s="63" t="s">
        <v>227</v>
      </c>
      <c r="D26" s="63">
        <v>13</v>
      </c>
      <c r="E26" s="63"/>
      <c r="F26" s="63"/>
      <c r="G26" s="63"/>
      <c r="H26" s="61">
        <f>SUM(D26:G26)</f>
        <v>13</v>
      </c>
      <c r="I26" s="63"/>
      <c r="J26" s="63"/>
      <c r="K26" s="63"/>
      <c r="L26" s="63"/>
      <c r="M26" s="61">
        <f>SUM(I26:L26)</f>
        <v>0</v>
      </c>
      <c r="N26" s="63">
        <v>11</v>
      </c>
      <c r="O26" s="63"/>
      <c r="P26" s="63"/>
      <c r="Q26" s="63"/>
      <c r="R26" s="61">
        <f>SUM(N26:Q26)</f>
        <v>11</v>
      </c>
      <c r="S26" s="63"/>
      <c r="T26" s="63"/>
      <c r="U26" s="63"/>
      <c r="V26" s="63"/>
      <c r="W26" s="61">
        <f>SUM(S26:V26)</f>
        <v>0</v>
      </c>
      <c r="X26" s="63"/>
      <c r="Y26" s="63"/>
      <c r="Z26" s="63"/>
      <c r="AA26" s="63"/>
      <c r="AB26" s="61">
        <f>SUM(X26:AA26)</f>
        <v>0</v>
      </c>
      <c r="AC26" s="63">
        <v>1</v>
      </c>
      <c r="AD26" s="63"/>
      <c r="AE26" s="63"/>
      <c r="AF26" s="63"/>
      <c r="AG26" s="61">
        <f>SUM(AC26:AF26)</f>
        <v>1</v>
      </c>
      <c r="AH26" s="63">
        <v>1</v>
      </c>
      <c r="AI26" s="63"/>
      <c r="AJ26" s="63"/>
      <c r="AK26" s="63"/>
      <c r="AL26" s="61">
        <f>SUM(AH26:AK26)</f>
        <v>1</v>
      </c>
      <c r="AM26" s="68">
        <f t="shared" si="0"/>
        <v>26</v>
      </c>
    </row>
    <row r="27" spans="1:39" hidden="1" x14ac:dyDescent="0.35">
      <c r="A27" s="114"/>
      <c r="B27" s="54"/>
      <c r="C27" s="60" t="s">
        <v>228</v>
      </c>
      <c r="D27" s="60">
        <v>6</v>
      </c>
      <c r="E27" s="60"/>
      <c r="F27" s="60"/>
      <c r="G27" s="60"/>
      <c r="H27" s="61">
        <f>SUM(D27:G27)</f>
        <v>6</v>
      </c>
      <c r="I27" s="60">
        <v>1</v>
      </c>
      <c r="J27" s="60"/>
      <c r="K27" s="60"/>
      <c r="L27" s="60"/>
      <c r="M27" s="61">
        <f>SUM(I27:L27)</f>
        <v>1</v>
      </c>
      <c r="N27" s="60">
        <v>11</v>
      </c>
      <c r="O27" s="60">
        <v>1</v>
      </c>
      <c r="P27" s="60"/>
      <c r="Q27" s="60"/>
      <c r="R27" s="61">
        <f>SUM(N27:Q27)</f>
        <v>12</v>
      </c>
      <c r="S27" s="60"/>
      <c r="T27" s="60"/>
      <c r="U27" s="60"/>
      <c r="V27" s="60"/>
      <c r="W27" s="61">
        <f>SUM(S27:V27)</f>
        <v>0</v>
      </c>
      <c r="X27" s="60"/>
      <c r="Y27" s="60"/>
      <c r="Z27" s="60"/>
      <c r="AA27" s="60"/>
      <c r="AB27" s="61">
        <f>SUM(X27:AA27)</f>
        <v>0</v>
      </c>
      <c r="AC27" s="60">
        <v>6</v>
      </c>
      <c r="AD27" s="60"/>
      <c r="AE27" s="60"/>
      <c r="AF27" s="60"/>
      <c r="AG27" s="61">
        <f>SUM(AC27:AF27)</f>
        <v>6</v>
      </c>
      <c r="AH27" s="60">
        <v>1</v>
      </c>
      <c r="AI27" s="60"/>
      <c r="AJ27" s="60"/>
      <c r="AK27" s="60"/>
      <c r="AL27" s="61">
        <f>SUM(AH27:AK27)</f>
        <v>1</v>
      </c>
      <c r="AM27" s="68">
        <f t="shared" si="0"/>
        <v>26</v>
      </c>
    </row>
    <row r="28" spans="1:39" hidden="1" x14ac:dyDescent="0.35">
      <c r="B28" s="54"/>
      <c r="C28" s="63" t="s">
        <v>235</v>
      </c>
      <c r="D28" s="63">
        <v>17</v>
      </c>
      <c r="E28" s="63">
        <v>1</v>
      </c>
      <c r="F28" s="63"/>
      <c r="G28" s="63"/>
      <c r="H28" s="61">
        <f>SUM(D28:G28)</f>
        <v>18</v>
      </c>
      <c r="I28" s="63"/>
      <c r="J28" s="63"/>
      <c r="K28" s="63"/>
      <c r="L28" s="63"/>
      <c r="M28" s="61">
        <f>SUM(I28:L28)</f>
        <v>0</v>
      </c>
      <c r="N28" s="63">
        <v>10</v>
      </c>
      <c r="O28" s="63"/>
      <c r="P28" s="63">
        <v>1</v>
      </c>
      <c r="Q28" s="63"/>
      <c r="R28" s="61">
        <f>SUM(N28:Q28)</f>
        <v>11</v>
      </c>
      <c r="S28" s="63"/>
      <c r="T28" s="63">
        <v>1</v>
      </c>
      <c r="U28" s="63"/>
      <c r="V28" s="63"/>
      <c r="W28" s="61">
        <f>SUM(S28:V28)</f>
        <v>1</v>
      </c>
      <c r="X28" s="63"/>
      <c r="Y28" s="63"/>
      <c r="Z28" s="63"/>
      <c r="AA28" s="63"/>
      <c r="AB28" s="61">
        <f>SUM(X28:AA28)</f>
        <v>0</v>
      </c>
      <c r="AC28" s="63">
        <v>3</v>
      </c>
      <c r="AD28" s="63"/>
      <c r="AE28" s="63"/>
      <c r="AF28" s="63"/>
      <c r="AG28" s="61">
        <f>SUM(AC28:AF28)</f>
        <v>3</v>
      </c>
      <c r="AH28" s="63">
        <v>3</v>
      </c>
      <c r="AI28" s="63"/>
      <c r="AJ28" s="63"/>
      <c r="AK28" s="63"/>
      <c r="AL28" s="61">
        <f>SUM(AH28:AK28)</f>
        <v>3</v>
      </c>
      <c r="AM28" s="68">
        <f t="shared" si="0"/>
        <v>36</v>
      </c>
    </row>
    <row r="29" spans="1:39" x14ac:dyDescent="0.35">
      <c r="A29" s="66" t="s">
        <v>241</v>
      </c>
      <c r="B29" s="67">
        <v>28</v>
      </c>
      <c r="C29" s="66"/>
      <c r="D29" s="66">
        <f t="shared" ref="D29:AL29" si="5">SUM(D25:D28)</f>
        <v>49</v>
      </c>
      <c r="E29" s="66">
        <f t="shared" si="5"/>
        <v>4</v>
      </c>
      <c r="F29" s="66">
        <f t="shared" si="5"/>
        <v>0</v>
      </c>
      <c r="G29" s="66">
        <f t="shared" si="5"/>
        <v>0</v>
      </c>
      <c r="H29" s="61">
        <f t="shared" si="5"/>
        <v>53</v>
      </c>
      <c r="I29" s="66">
        <f t="shared" si="5"/>
        <v>2</v>
      </c>
      <c r="J29" s="66">
        <f t="shared" si="5"/>
        <v>0</v>
      </c>
      <c r="K29" s="66">
        <f t="shared" si="5"/>
        <v>0</v>
      </c>
      <c r="L29" s="66">
        <f t="shared" si="5"/>
        <v>0</v>
      </c>
      <c r="M29" s="61">
        <f t="shared" si="5"/>
        <v>2</v>
      </c>
      <c r="N29" s="66">
        <f t="shared" si="5"/>
        <v>41</v>
      </c>
      <c r="O29" s="66">
        <f t="shared" si="5"/>
        <v>2</v>
      </c>
      <c r="P29" s="66">
        <f t="shared" si="5"/>
        <v>1</v>
      </c>
      <c r="Q29" s="66">
        <f t="shared" si="5"/>
        <v>0</v>
      </c>
      <c r="R29" s="61">
        <f t="shared" si="5"/>
        <v>44</v>
      </c>
      <c r="S29" s="66">
        <f t="shared" si="5"/>
        <v>0</v>
      </c>
      <c r="T29" s="66">
        <f t="shared" si="5"/>
        <v>1</v>
      </c>
      <c r="U29" s="66">
        <f t="shared" si="5"/>
        <v>0</v>
      </c>
      <c r="V29" s="66">
        <f t="shared" si="5"/>
        <v>0</v>
      </c>
      <c r="W29" s="61">
        <f t="shared" si="5"/>
        <v>1</v>
      </c>
      <c r="X29" s="66">
        <f t="shared" si="5"/>
        <v>0</v>
      </c>
      <c r="Y29" s="66">
        <f t="shared" si="5"/>
        <v>0</v>
      </c>
      <c r="Z29" s="66">
        <f t="shared" si="5"/>
        <v>0</v>
      </c>
      <c r="AA29" s="66">
        <f t="shared" si="5"/>
        <v>0</v>
      </c>
      <c r="AB29" s="61">
        <f t="shared" si="5"/>
        <v>0</v>
      </c>
      <c r="AC29" s="66">
        <f t="shared" si="5"/>
        <v>13</v>
      </c>
      <c r="AD29" s="66">
        <f t="shared" si="5"/>
        <v>0</v>
      </c>
      <c r="AE29" s="66">
        <f t="shared" si="5"/>
        <v>0</v>
      </c>
      <c r="AF29" s="66">
        <f t="shared" si="5"/>
        <v>0</v>
      </c>
      <c r="AG29" s="61">
        <f t="shared" si="5"/>
        <v>13</v>
      </c>
      <c r="AH29" s="66">
        <f t="shared" si="5"/>
        <v>7</v>
      </c>
      <c r="AI29" s="66">
        <f t="shared" si="5"/>
        <v>0</v>
      </c>
      <c r="AJ29" s="66">
        <f t="shared" si="5"/>
        <v>0</v>
      </c>
      <c r="AK29" s="66">
        <f t="shared" si="5"/>
        <v>0</v>
      </c>
      <c r="AL29" s="61">
        <f t="shared" si="5"/>
        <v>7</v>
      </c>
      <c r="AM29" s="68">
        <f t="shared" si="0"/>
        <v>120</v>
      </c>
    </row>
    <row r="30" spans="1:39" hidden="1" x14ac:dyDescent="0.35">
      <c r="A30" s="59" t="s">
        <v>243</v>
      </c>
      <c r="B30" s="54">
        <v>25</v>
      </c>
      <c r="C30" s="60" t="s">
        <v>225</v>
      </c>
      <c r="D30" s="60"/>
      <c r="E30" s="60"/>
      <c r="F30" s="60"/>
      <c r="G30" s="60"/>
      <c r="H30" s="61">
        <f>SUM(D30:G30)</f>
        <v>0</v>
      </c>
      <c r="I30" s="60"/>
      <c r="J30" s="60"/>
      <c r="K30" s="60"/>
      <c r="L30" s="60"/>
      <c r="M30" s="61">
        <f>SUM(I30:L30)</f>
        <v>0</v>
      </c>
      <c r="N30" s="60"/>
      <c r="O30" s="60"/>
      <c r="P30" s="60"/>
      <c r="Q30" s="60"/>
      <c r="R30" s="61">
        <f>SUM(N30:Q30)</f>
        <v>0</v>
      </c>
      <c r="S30" s="60"/>
      <c r="T30" s="60"/>
      <c r="U30" s="60"/>
      <c r="V30" s="60"/>
      <c r="W30" s="61">
        <f>SUM(S30:V30)</f>
        <v>0</v>
      </c>
      <c r="X30" s="60"/>
      <c r="Y30" s="60"/>
      <c r="Z30" s="60"/>
      <c r="AA30" s="60"/>
      <c r="AB30" s="61">
        <f>SUM(X30:AA30)</f>
        <v>0</v>
      </c>
      <c r="AC30" s="60"/>
      <c r="AD30" s="60"/>
      <c r="AE30" s="60"/>
      <c r="AF30" s="60"/>
      <c r="AG30" s="61">
        <f>SUM(AC30:AF30)</f>
        <v>0</v>
      </c>
      <c r="AH30" s="60">
        <v>4</v>
      </c>
      <c r="AI30" s="60"/>
      <c r="AJ30" s="60"/>
      <c r="AK30" s="60"/>
      <c r="AL30" s="61">
        <f>SUM(AH30:AK30)</f>
        <v>4</v>
      </c>
      <c r="AM30" s="68">
        <f t="shared" si="0"/>
        <v>4</v>
      </c>
    </row>
    <row r="31" spans="1:39" hidden="1" x14ac:dyDescent="0.35">
      <c r="A31" s="115" t="s">
        <v>244</v>
      </c>
      <c r="B31" s="54"/>
      <c r="C31" s="63" t="s">
        <v>227</v>
      </c>
      <c r="D31" s="63"/>
      <c r="E31" s="63"/>
      <c r="F31" s="63"/>
      <c r="G31" s="63"/>
      <c r="H31" s="61">
        <f>SUM(D31:G31)</f>
        <v>0</v>
      </c>
      <c r="I31" s="63"/>
      <c r="J31" s="63"/>
      <c r="K31" s="63"/>
      <c r="L31" s="63"/>
      <c r="M31" s="61">
        <f>SUM(I31:L31)</f>
        <v>0</v>
      </c>
      <c r="N31" s="63"/>
      <c r="O31" s="63"/>
      <c r="P31" s="63"/>
      <c r="Q31" s="63"/>
      <c r="R31" s="61">
        <f>SUM(N31:Q31)</f>
        <v>0</v>
      </c>
      <c r="S31" s="63"/>
      <c r="T31" s="63"/>
      <c r="U31" s="63"/>
      <c r="V31" s="63"/>
      <c r="W31" s="61">
        <f>SUM(S31:V31)</f>
        <v>0</v>
      </c>
      <c r="X31" s="63"/>
      <c r="Y31" s="63"/>
      <c r="Z31" s="63"/>
      <c r="AA31" s="63"/>
      <c r="AB31" s="61">
        <f>SUM(X31:AA31)</f>
        <v>0</v>
      </c>
      <c r="AC31" s="63"/>
      <c r="AD31" s="63"/>
      <c r="AE31" s="63"/>
      <c r="AF31" s="63"/>
      <c r="AG31" s="61">
        <f>SUM(AC31:AF31)</f>
        <v>0</v>
      </c>
      <c r="AH31" s="63">
        <v>1</v>
      </c>
      <c r="AI31" s="63"/>
      <c r="AJ31" s="63"/>
      <c r="AK31" s="63"/>
      <c r="AL31" s="61">
        <f>SUM(AH31:AK31)</f>
        <v>1</v>
      </c>
      <c r="AM31" s="68">
        <f t="shared" si="0"/>
        <v>1</v>
      </c>
    </row>
    <row r="32" spans="1:39" hidden="1" x14ac:dyDescent="0.35">
      <c r="A32" s="115"/>
      <c r="B32" s="54"/>
      <c r="C32" s="60" t="s">
        <v>228</v>
      </c>
      <c r="D32" s="60"/>
      <c r="E32" s="60"/>
      <c r="F32" s="60"/>
      <c r="G32" s="60"/>
      <c r="H32" s="61">
        <f>SUM(D32:G32)</f>
        <v>0</v>
      </c>
      <c r="I32" s="60"/>
      <c r="J32" s="60"/>
      <c r="K32" s="60"/>
      <c r="L32" s="60"/>
      <c r="M32" s="61">
        <f>SUM(I32:L32)</f>
        <v>0</v>
      </c>
      <c r="N32" s="60"/>
      <c r="O32" s="60"/>
      <c r="P32" s="60"/>
      <c r="Q32" s="60"/>
      <c r="R32" s="61">
        <f>SUM(N32:Q32)</f>
        <v>0</v>
      </c>
      <c r="S32" s="60"/>
      <c r="T32" s="60"/>
      <c r="U32" s="60"/>
      <c r="V32" s="60"/>
      <c r="W32" s="61">
        <f>SUM(S32:V32)</f>
        <v>0</v>
      </c>
      <c r="X32" s="60"/>
      <c r="Y32" s="60"/>
      <c r="Z32" s="60"/>
      <c r="AA32" s="60"/>
      <c r="AB32" s="61">
        <f>SUM(X32:AA32)</f>
        <v>0</v>
      </c>
      <c r="AC32" s="60"/>
      <c r="AD32" s="60"/>
      <c r="AE32" s="60"/>
      <c r="AF32" s="60"/>
      <c r="AG32" s="61">
        <f>SUM(AC32:AF32)</f>
        <v>0</v>
      </c>
      <c r="AH32" s="60">
        <v>4</v>
      </c>
      <c r="AI32" s="60"/>
      <c r="AJ32" s="60"/>
      <c r="AK32" s="60"/>
      <c r="AL32" s="61">
        <f>SUM(AH32:AK32)</f>
        <v>4</v>
      </c>
      <c r="AM32" s="68">
        <f t="shared" si="0"/>
        <v>4</v>
      </c>
    </row>
    <row r="33" spans="1:39" hidden="1" x14ac:dyDescent="0.35">
      <c r="B33" s="54"/>
      <c r="C33" s="63" t="s">
        <v>235</v>
      </c>
      <c r="D33" s="63"/>
      <c r="E33" s="63"/>
      <c r="F33" s="63"/>
      <c r="G33" s="63"/>
      <c r="H33" s="61">
        <f>SUM(D33:G33)</f>
        <v>0</v>
      </c>
      <c r="I33" s="63"/>
      <c r="J33" s="63"/>
      <c r="K33" s="63"/>
      <c r="L33" s="63"/>
      <c r="M33" s="61">
        <f>SUM(I33:L33)</f>
        <v>0</v>
      </c>
      <c r="N33" s="63"/>
      <c r="O33" s="63"/>
      <c r="P33" s="63"/>
      <c r="Q33" s="63"/>
      <c r="R33" s="61">
        <f>SUM(N33:Q33)</f>
        <v>0</v>
      </c>
      <c r="S33" s="63"/>
      <c r="T33" s="63"/>
      <c r="U33" s="63"/>
      <c r="V33" s="63"/>
      <c r="W33" s="61">
        <f>SUM(S33:V33)</f>
        <v>0</v>
      </c>
      <c r="X33" s="63"/>
      <c r="Y33" s="63"/>
      <c r="Z33" s="63"/>
      <c r="AA33" s="63"/>
      <c r="AB33" s="61">
        <f>SUM(X33:AA33)</f>
        <v>0</v>
      </c>
      <c r="AC33" s="63"/>
      <c r="AD33" s="63"/>
      <c r="AE33" s="63"/>
      <c r="AF33" s="63"/>
      <c r="AG33" s="61">
        <f>SUM(AC33:AF33)</f>
        <v>0</v>
      </c>
      <c r="AH33" s="63">
        <v>3</v>
      </c>
      <c r="AI33" s="63"/>
      <c r="AJ33" s="63"/>
      <c r="AK33" s="63"/>
      <c r="AL33" s="61">
        <f>SUM(AH33:AK33)</f>
        <v>3</v>
      </c>
      <c r="AM33" s="68">
        <f t="shared" si="0"/>
        <v>3</v>
      </c>
    </row>
    <row r="34" spans="1:39" hidden="1" x14ac:dyDescent="0.35">
      <c r="A34" s="66" t="s">
        <v>244</v>
      </c>
      <c r="B34" s="70"/>
      <c r="C34" s="66"/>
      <c r="D34" s="66">
        <f t="shared" ref="D34:AL34" si="6">SUM(D30:D33)</f>
        <v>0</v>
      </c>
      <c r="E34" s="66">
        <f t="shared" si="6"/>
        <v>0</v>
      </c>
      <c r="F34" s="66">
        <f t="shared" si="6"/>
        <v>0</v>
      </c>
      <c r="G34" s="66">
        <f t="shared" si="6"/>
        <v>0</v>
      </c>
      <c r="H34" s="61">
        <f t="shared" si="6"/>
        <v>0</v>
      </c>
      <c r="I34" s="66">
        <f t="shared" si="6"/>
        <v>0</v>
      </c>
      <c r="J34" s="66">
        <f t="shared" si="6"/>
        <v>0</v>
      </c>
      <c r="K34" s="58">
        <f t="shared" si="6"/>
        <v>0</v>
      </c>
      <c r="L34" s="66">
        <f t="shared" si="6"/>
        <v>0</v>
      </c>
      <c r="M34" s="61">
        <f t="shared" si="6"/>
        <v>0</v>
      </c>
      <c r="N34" s="66">
        <f t="shared" si="6"/>
        <v>0</v>
      </c>
      <c r="O34" s="66">
        <f t="shared" si="6"/>
        <v>0</v>
      </c>
      <c r="P34" s="58">
        <f t="shared" si="6"/>
        <v>0</v>
      </c>
      <c r="Q34" s="66">
        <f t="shared" si="6"/>
        <v>0</v>
      </c>
      <c r="R34" s="61">
        <f t="shared" si="6"/>
        <v>0</v>
      </c>
      <c r="S34" s="66">
        <f t="shared" si="6"/>
        <v>0</v>
      </c>
      <c r="T34" s="66">
        <f t="shared" si="6"/>
        <v>0</v>
      </c>
      <c r="U34" s="58">
        <f t="shared" si="6"/>
        <v>0</v>
      </c>
      <c r="V34" s="66">
        <f t="shared" si="6"/>
        <v>0</v>
      </c>
      <c r="W34" s="61">
        <f t="shared" si="6"/>
        <v>0</v>
      </c>
      <c r="X34" s="66">
        <f t="shared" si="6"/>
        <v>0</v>
      </c>
      <c r="Y34" s="66">
        <f t="shared" si="6"/>
        <v>0</v>
      </c>
      <c r="Z34" s="58">
        <f t="shared" si="6"/>
        <v>0</v>
      </c>
      <c r="AA34" s="66">
        <f t="shared" si="6"/>
        <v>0</v>
      </c>
      <c r="AB34" s="61">
        <f t="shared" si="6"/>
        <v>0</v>
      </c>
      <c r="AC34" s="66">
        <f t="shared" si="6"/>
        <v>0</v>
      </c>
      <c r="AD34" s="66">
        <f t="shared" si="6"/>
        <v>0</v>
      </c>
      <c r="AE34" s="58">
        <f t="shared" si="6"/>
        <v>0</v>
      </c>
      <c r="AF34" s="66">
        <f t="shared" si="6"/>
        <v>0</v>
      </c>
      <c r="AG34" s="61">
        <f t="shared" si="6"/>
        <v>0</v>
      </c>
      <c r="AH34" s="66">
        <f t="shared" si="6"/>
        <v>12</v>
      </c>
      <c r="AI34" s="66">
        <f t="shared" si="6"/>
        <v>0</v>
      </c>
      <c r="AJ34" s="58">
        <f t="shared" si="6"/>
        <v>0</v>
      </c>
      <c r="AK34" s="66">
        <f t="shared" si="6"/>
        <v>0</v>
      </c>
      <c r="AL34" s="61">
        <f t="shared" si="6"/>
        <v>12</v>
      </c>
      <c r="AM34" s="68">
        <f t="shared" si="0"/>
        <v>12</v>
      </c>
    </row>
    <row r="35" spans="1:39" hidden="1" x14ac:dyDescent="0.35">
      <c r="A35" s="138" t="s">
        <v>245</v>
      </c>
      <c r="B35" s="54"/>
      <c r="C35" s="60" t="s">
        <v>225</v>
      </c>
      <c r="D35" s="60"/>
      <c r="E35" s="60"/>
      <c r="F35" s="60"/>
      <c r="G35" s="60"/>
      <c r="H35" s="61">
        <f>SUM(D35:G35)</f>
        <v>0</v>
      </c>
      <c r="I35" s="60"/>
      <c r="J35" s="60"/>
      <c r="K35" s="60"/>
      <c r="L35" s="60"/>
      <c r="M35" s="61">
        <f>SUM(I35:L35)</f>
        <v>0</v>
      </c>
      <c r="N35" s="60"/>
      <c r="O35" s="60"/>
      <c r="P35" s="60"/>
      <c r="Q35" s="60"/>
      <c r="R35" s="61">
        <f>SUM(N35:Q35)</f>
        <v>0</v>
      </c>
      <c r="S35" s="60"/>
      <c r="T35" s="60"/>
      <c r="U35" s="60"/>
      <c r="V35" s="60"/>
      <c r="W35" s="61">
        <f>SUM(S35:V35)</f>
        <v>0</v>
      </c>
      <c r="X35" s="60"/>
      <c r="Y35" s="60"/>
      <c r="Z35" s="60"/>
      <c r="AA35" s="60"/>
      <c r="AB35" s="61">
        <f>SUM(X35:AA35)</f>
        <v>0</v>
      </c>
      <c r="AC35" s="60"/>
      <c r="AD35" s="60"/>
      <c r="AE35" s="60"/>
      <c r="AF35" s="60"/>
      <c r="AG35" s="61">
        <f>SUM(AC35:AF35)</f>
        <v>0</v>
      </c>
      <c r="AH35" s="60"/>
      <c r="AI35" s="60"/>
      <c r="AJ35" s="60"/>
      <c r="AK35" s="60"/>
      <c r="AL35" s="61">
        <f>SUM(AH35:AK35)</f>
        <v>0</v>
      </c>
      <c r="AM35" s="68">
        <f t="shared" si="0"/>
        <v>0</v>
      </c>
    </row>
    <row r="36" spans="1:39" hidden="1" x14ac:dyDescent="0.35">
      <c r="A36" s="112"/>
      <c r="B36" s="54"/>
      <c r="C36" s="63" t="s">
        <v>227</v>
      </c>
      <c r="D36" s="63"/>
      <c r="E36" s="63"/>
      <c r="F36" s="63"/>
      <c r="G36" s="63"/>
      <c r="H36" s="61">
        <f>SUM(D36:G36)</f>
        <v>0</v>
      </c>
      <c r="I36" s="63"/>
      <c r="J36" s="63"/>
      <c r="K36" s="63"/>
      <c r="L36" s="63"/>
      <c r="M36" s="61">
        <f>SUM(I36:L36)</f>
        <v>0</v>
      </c>
      <c r="N36" s="63"/>
      <c r="O36" s="63"/>
      <c r="P36" s="63"/>
      <c r="Q36" s="63"/>
      <c r="R36" s="61">
        <f>SUM(N36:Q36)</f>
        <v>0</v>
      </c>
      <c r="S36" s="63"/>
      <c r="T36" s="63"/>
      <c r="U36" s="63"/>
      <c r="V36" s="63"/>
      <c r="W36" s="61">
        <f>SUM(S36:V36)</f>
        <v>0</v>
      </c>
      <c r="X36" s="63"/>
      <c r="Y36" s="63"/>
      <c r="Z36" s="63"/>
      <c r="AA36" s="63"/>
      <c r="AB36" s="61">
        <f>SUM(X36:AA36)</f>
        <v>0</v>
      </c>
      <c r="AC36" s="63"/>
      <c r="AD36" s="63"/>
      <c r="AE36" s="63"/>
      <c r="AF36" s="63"/>
      <c r="AG36" s="61">
        <f>SUM(AC36:AF36)</f>
        <v>0</v>
      </c>
      <c r="AH36" s="63"/>
      <c r="AI36" s="63"/>
      <c r="AJ36" s="63"/>
      <c r="AK36" s="63"/>
      <c r="AL36" s="61">
        <f>SUM(AH36:AK36)</f>
        <v>0</v>
      </c>
      <c r="AM36" s="68">
        <f t="shared" si="0"/>
        <v>0</v>
      </c>
    </row>
    <row r="37" spans="1:39" hidden="1" x14ac:dyDescent="0.35">
      <c r="B37" s="54"/>
      <c r="C37" s="60" t="s">
        <v>228</v>
      </c>
      <c r="D37" s="60"/>
      <c r="E37" s="60"/>
      <c r="F37" s="60"/>
      <c r="G37" s="60"/>
      <c r="H37" s="61">
        <f>SUM(D37:G37)</f>
        <v>0</v>
      </c>
      <c r="I37" s="60"/>
      <c r="J37" s="60"/>
      <c r="K37" s="60"/>
      <c r="L37" s="60"/>
      <c r="M37" s="61">
        <f>SUM(I37:L37)</f>
        <v>0</v>
      </c>
      <c r="N37" s="60"/>
      <c r="O37" s="60"/>
      <c r="P37" s="60"/>
      <c r="Q37" s="60"/>
      <c r="R37" s="61">
        <f>SUM(N37:Q37)</f>
        <v>0</v>
      </c>
      <c r="S37" s="60"/>
      <c r="T37" s="60"/>
      <c r="U37" s="60"/>
      <c r="V37" s="60"/>
      <c r="W37" s="61">
        <f>SUM(S37:V37)</f>
        <v>0</v>
      </c>
      <c r="X37" s="60"/>
      <c r="Y37" s="60"/>
      <c r="Z37" s="60"/>
      <c r="AA37" s="60"/>
      <c r="AB37" s="61">
        <f>SUM(X37:AA37)</f>
        <v>0</v>
      </c>
      <c r="AC37" s="60"/>
      <c r="AD37" s="60"/>
      <c r="AE37" s="60"/>
      <c r="AF37" s="60"/>
      <c r="AG37" s="61">
        <f>SUM(AC37:AF37)</f>
        <v>0</v>
      </c>
      <c r="AH37" s="60"/>
      <c r="AI37" s="60"/>
      <c r="AJ37" s="60"/>
      <c r="AK37" s="60"/>
      <c r="AL37" s="61">
        <f>SUM(AH37:AK37)</f>
        <v>0</v>
      </c>
      <c r="AM37" s="68">
        <f t="shared" si="0"/>
        <v>0</v>
      </c>
    </row>
    <row r="38" spans="1:39" hidden="1" x14ac:dyDescent="0.35">
      <c r="B38" s="54"/>
      <c r="C38" s="63" t="s">
        <v>235</v>
      </c>
      <c r="D38" s="63"/>
      <c r="E38" s="63"/>
      <c r="F38" s="63"/>
      <c r="G38" s="63"/>
      <c r="H38" s="61">
        <f>SUM(D38:G38)</f>
        <v>0</v>
      </c>
      <c r="I38" s="63"/>
      <c r="J38" s="63"/>
      <c r="K38" s="63"/>
      <c r="L38" s="63"/>
      <c r="M38" s="61">
        <f>SUM(I38:L38)</f>
        <v>0</v>
      </c>
      <c r="N38" s="63"/>
      <c r="O38" s="63"/>
      <c r="P38" s="63"/>
      <c r="Q38" s="63"/>
      <c r="R38" s="61">
        <f>SUM(N38:Q38)</f>
        <v>0</v>
      </c>
      <c r="S38" s="63"/>
      <c r="T38" s="63"/>
      <c r="U38" s="63"/>
      <c r="V38" s="63"/>
      <c r="W38" s="61">
        <f>SUM(S38:V38)</f>
        <v>0</v>
      </c>
      <c r="X38" s="63"/>
      <c r="Y38" s="63"/>
      <c r="Z38" s="63"/>
      <c r="AA38" s="63"/>
      <c r="AB38" s="61">
        <f>SUM(X38:AA38)</f>
        <v>0</v>
      </c>
      <c r="AC38" s="63"/>
      <c r="AD38" s="63"/>
      <c r="AE38" s="63"/>
      <c r="AF38" s="63"/>
      <c r="AG38" s="61">
        <f>SUM(AC38:AF38)</f>
        <v>0</v>
      </c>
      <c r="AH38" s="63"/>
      <c r="AI38" s="63"/>
      <c r="AJ38" s="63"/>
      <c r="AK38" s="63"/>
      <c r="AL38" s="61">
        <f>SUM(AH38:AK38)</f>
        <v>0</v>
      </c>
      <c r="AM38" s="68">
        <f t="shared" si="0"/>
        <v>0</v>
      </c>
    </row>
    <row r="39" spans="1:39" hidden="1" x14ac:dyDescent="0.35">
      <c r="A39" s="66" t="s">
        <v>246</v>
      </c>
      <c r="B39" s="67"/>
      <c r="C39" s="73"/>
      <c r="D39" s="73">
        <f t="shared" ref="D39:AL39" si="7">SUM(D35:D38)</f>
        <v>0</v>
      </c>
      <c r="E39" s="73">
        <f t="shared" si="7"/>
        <v>0</v>
      </c>
      <c r="F39" s="73">
        <f t="shared" si="7"/>
        <v>0</v>
      </c>
      <c r="G39" s="73">
        <f t="shared" si="7"/>
        <v>0</v>
      </c>
      <c r="H39" s="56">
        <f t="shared" si="7"/>
        <v>0</v>
      </c>
      <c r="I39" s="73">
        <f t="shared" si="7"/>
        <v>0</v>
      </c>
      <c r="J39" s="73">
        <f t="shared" si="7"/>
        <v>0</v>
      </c>
      <c r="K39" s="58">
        <f t="shared" si="7"/>
        <v>0</v>
      </c>
      <c r="L39" s="73">
        <f t="shared" si="7"/>
        <v>0</v>
      </c>
      <c r="M39" s="56">
        <f t="shared" si="7"/>
        <v>0</v>
      </c>
      <c r="N39" s="73">
        <f t="shared" si="7"/>
        <v>0</v>
      </c>
      <c r="O39" s="73">
        <f t="shared" si="7"/>
        <v>0</v>
      </c>
      <c r="P39" s="58">
        <f t="shared" si="7"/>
        <v>0</v>
      </c>
      <c r="Q39" s="73">
        <f t="shared" si="7"/>
        <v>0</v>
      </c>
      <c r="R39" s="56">
        <f t="shared" si="7"/>
        <v>0</v>
      </c>
      <c r="S39" s="73">
        <f t="shared" si="7"/>
        <v>0</v>
      </c>
      <c r="T39" s="73">
        <f t="shared" si="7"/>
        <v>0</v>
      </c>
      <c r="U39" s="58">
        <f t="shared" si="7"/>
        <v>0</v>
      </c>
      <c r="V39" s="73">
        <f t="shared" si="7"/>
        <v>0</v>
      </c>
      <c r="W39" s="56">
        <f t="shared" si="7"/>
        <v>0</v>
      </c>
      <c r="X39" s="73">
        <f t="shared" si="7"/>
        <v>0</v>
      </c>
      <c r="Y39" s="73">
        <f t="shared" si="7"/>
        <v>0</v>
      </c>
      <c r="Z39" s="58">
        <f t="shared" si="7"/>
        <v>0</v>
      </c>
      <c r="AA39" s="73">
        <f t="shared" si="7"/>
        <v>0</v>
      </c>
      <c r="AB39" s="56">
        <f t="shared" si="7"/>
        <v>0</v>
      </c>
      <c r="AC39" s="73">
        <f t="shared" si="7"/>
        <v>0</v>
      </c>
      <c r="AD39" s="73">
        <f t="shared" si="7"/>
        <v>0</v>
      </c>
      <c r="AE39" s="58">
        <f t="shared" si="7"/>
        <v>0</v>
      </c>
      <c r="AF39" s="73">
        <f t="shared" si="7"/>
        <v>0</v>
      </c>
      <c r="AG39" s="56">
        <f t="shared" si="7"/>
        <v>0</v>
      </c>
      <c r="AH39" s="73">
        <f t="shared" si="7"/>
        <v>0</v>
      </c>
      <c r="AI39" s="73">
        <f t="shared" si="7"/>
        <v>0</v>
      </c>
      <c r="AJ39" s="58">
        <f t="shared" si="7"/>
        <v>0</v>
      </c>
      <c r="AK39" s="73">
        <f t="shared" si="7"/>
        <v>0</v>
      </c>
      <c r="AL39" s="56">
        <f t="shared" si="7"/>
        <v>0</v>
      </c>
      <c r="AM39" s="74">
        <f t="shared" si="0"/>
        <v>0</v>
      </c>
    </row>
    <row r="40" spans="1:39" x14ac:dyDescent="0.35">
      <c r="A40" s="66" t="s">
        <v>243</v>
      </c>
      <c r="B40" s="67">
        <v>25</v>
      </c>
      <c r="C40" s="66"/>
      <c r="D40" s="66">
        <f t="shared" ref="D40:AL40" si="8">SUM(D39,D34)</f>
        <v>0</v>
      </c>
      <c r="E40" s="66">
        <f t="shared" si="8"/>
        <v>0</v>
      </c>
      <c r="F40" s="66">
        <f t="shared" si="8"/>
        <v>0</v>
      </c>
      <c r="G40" s="66">
        <f t="shared" si="8"/>
        <v>0</v>
      </c>
      <c r="H40" s="61">
        <f t="shared" si="8"/>
        <v>0</v>
      </c>
      <c r="I40" s="66">
        <f t="shared" si="8"/>
        <v>0</v>
      </c>
      <c r="J40" s="66">
        <f t="shared" si="8"/>
        <v>0</v>
      </c>
      <c r="K40" s="66">
        <f t="shared" si="8"/>
        <v>0</v>
      </c>
      <c r="L40" s="66">
        <f t="shared" si="8"/>
        <v>0</v>
      </c>
      <c r="M40" s="61">
        <f t="shared" si="8"/>
        <v>0</v>
      </c>
      <c r="N40" s="66">
        <f t="shared" si="8"/>
        <v>0</v>
      </c>
      <c r="O40" s="66">
        <f t="shared" si="8"/>
        <v>0</v>
      </c>
      <c r="P40" s="66">
        <f t="shared" si="8"/>
        <v>0</v>
      </c>
      <c r="Q40" s="66">
        <f t="shared" si="8"/>
        <v>0</v>
      </c>
      <c r="R40" s="61">
        <f t="shared" si="8"/>
        <v>0</v>
      </c>
      <c r="S40" s="66">
        <f t="shared" si="8"/>
        <v>0</v>
      </c>
      <c r="T40" s="66">
        <f t="shared" si="8"/>
        <v>0</v>
      </c>
      <c r="U40" s="66">
        <f t="shared" si="8"/>
        <v>0</v>
      </c>
      <c r="V40" s="66">
        <f t="shared" si="8"/>
        <v>0</v>
      </c>
      <c r="W40" s="61">
        <f t="shared" si="8"/>
        <v>0</v>
      </c>
      <c r="X40" s="66">
        <f t="shared" si="8"/>
        <v>0</v>
      </c>
      <c r="Y40" s="66">
        <f t="shared" si="8"/>
        <v>0</v>
      </c>
      <c r="Z40" s="66">
        <f t="shared" si="8"/>
        <v>0</v>
      </c>
      <c r="AA40" s="66">
        <f t="shared" si="8"/>
        <v>0</v>
      </c>
      <c r="AB40" s="61">
        <f t="shared" si="8"/>
        <v>0</v>
      </c>
      <c r="AC40" s="66">
        <f t="shared" si="8"/>
        <v>0</v>
      </c>
      <c r="AD40" s="66">
        <f t="shared" si="8"/>
        <v>0</v>
      </c>
      <c r="AE40" s="66">
        <f t="shared" si="8"/>
        <v>0</v>
      </c>
      <c r="AF40" s="66">
        <f t="shared" si="8"/>
        <v>0</v>
      </c>
      <c r="AG40" s="61">
        <f t="shared" si="8"/>
        <v>0</v>
      </c>
      <c r="AH40" s="66">
        <f t="shared" si="8"/>
        <v>12</v>
      </c>
      <c r="AI40" s="66">
        <f t="shared" si="8"/>
        <v>0</v>
      </c>
      <c r="AJ40" s="66">
        <f t="shared" si="8"/>
        <v>0</v>
      </c>
      <c r="AK40" s="66">
        <f t="shared" si="8"/>
        <v>0</v>
      </c>
      <c r="AL40" s="61">
        <f t="shared" si="8"/>
        <v>12</v>
      </c>
      <c r="AM40" s="68">
        <f t="shared" si="0"/>
        <v>12</v>
      </c>
    </row>
    <row r="41" spans="1:39" hidden="1" x14ac:dyDescent="0.35">
      <c r="A41" s="59" t="s">
        <v>247</v>
      </c>
      <c r="B41" s="54" t="s">
        <v>248</v>
      </c>
      <c r="C41" s="60" t="s">
        <v>225</v>
      </c>
      <c r="D41" s="60">
        <v>12</v>
      </c>
      <c r="E41" s="60"/>
      <c r="F41" s="60"/>
      <c r="G41" s="60"/>
      <c r="H41" s="61">
        <f>SUM(D41:G41)</f>
        <v>12</v>
      </c>
      <c r="I41" s="60"/>
      <c r="J41" s="60"/>
      <c r="K41" s="60"/>
      <c r="L41" s="60"/>
      <c r="M41" s="61">
        <f>SUM(I41:L41)</f>
        <v>0</v>
      </c>
      <c r="N41" s="60">
        <v>1</v>
      </c>
      <c r="O41" s="60"/>
      <c r="P41" s="60"/>
      <c r="Q41" s="60"/>
      <c r="R41" s="61">
        <f>SUM(N41:Q41)</f>
        <v>1</v>
      </c>
      <c r="S41" s="60"/>
      <c r="T41" s="60"/>
      <c r="U41" s="60"/>
      <c r="V41" s="60"/>
      <c r="W41" s="61">
        <f>SUM(S41:V41)</f>
        <v>0</v>
      </c>
      <c r="X41" s="60"/>
      <c r="Y41" s="60"/>
      <c r="Z41" s="60"/>
      <c r="AA41" s="60"/>
      <c r="AB41" s="61">
        <f>SUM(X41:AA41)</f>
        <v>0</v>
      </c>
      <c r="AC41" s="60"/>
      <c r="AD41" s="60"/>
      <c r="AE41" s="60"/>
      <c r="AF41" s="60"/>
      <c r="AG41" s="61">
        <f>SUM(AC41:AF41)</f>
        <v>0</v>
      </c>
      <c r="AH41" s="60"/>
      <c r="AI41" s="60"/>
      <c r="AJ41" s="60"/>
      <c r="AK41" s="60"/>
      <c r="AL41" s="61">
        <f>SUM(AH41:AK41)</f>
        <v>0</v>
      </c>
      <c r="AM41" s="68">
        <f t="shared" si="0"/>
        <v>13</v>
      </c>
    </row>
    <row r="42" spans="1:39" hidden="1" x14ac:dyDescent="0.35">
      <c r="A42" s="112" t="s">
        <v>249</v>
      </c>
      <c r="B42" s="54"/>
      <c r="C42" s="63" t="s">
        <v>227</v>
      </c>
      <c r="D42" s="63">
        <v>4</v>
      </c>
      <c r="E42" s="63">
        <v>1</v>
      </c>
      <c r="F42" s="63"/>
      <c r="G42" s="63"/>
      <c r="H42" s="61">
        <f>SUM(D42:G42)</f>
        <v>5</v>
      </c>
      <c r="I42" s="63"/>
      <c r="J42" s="63"/>
      <c r="K42" s="63"/>
      <c r="L42" s="63"/>
      <c r="M42" s="61">
        <f>SUM(I42:L42)</f>
        <v>0</v>
      </c>
      <c r="N42" s="63">
        <v>1</v>
      </c>
      <c r="O42" s="63">
        <v>1</v>
      </c>
      <c r="P42" s="63"/>
      <c r="Q42" s="63"/>
      <c r="R42" s="61">
        <f>SUM(N42:Q42)</f>
        <v>2</v>
      </c>
      <c r="S42" s="63"/>
      <c r="T42" s="63"/>
      <c r="U42" s="63"/>
      <c r="V42" s="63"/>
      <c r="W42" s="61">
        <f>SUM(S42:V42)</f>
        <v>0</v>
      </c>
      <c r="X42" s="63"/>
      <c r="Y42" s="63"/>
      <c r="Z42" s="63"/>
      <c r="AA42" s="63"/>
      <c r="AB42" s="61">
        <f>SUM(X42:AA42)</f>
        <v>0</v>
      </c>
      <c r="AC42" s="63"/>
      <c r="AD42" s="63"/>
      <c r="AE42" s="63"/>
      <c r="AF42" s="63"/>
      <c r="AG42" s="61">
        <f>SUM(AC42:AF42)</f>
        <v>0</v>
      </c>
      <c r="AH42" s="63"/>
      <c r="AI42" s="63"/>
      <c r="AJ42" s="63"/>
      <c r="AK42" s="63"/>
      <c r="AL42" s="61">
        <f>SUM(AH42:AK42)</f>
        <v>0</v>
      </c>
      <c r="AM42" s="68">
        <f t="shared" si="0"/>
        <v>7</v>
      </c>
    </row>
    <row r="43" spans="1:39" hidden="1" x14ac:dyDescent="0.35">
      <c r="A43" s="112"/>
      <c r="B43" s="54"/>
      <c r="C43" s="60" t="s">
        <v>228</v>
      </c>
      <c r="D43" s="60"/>
      <c r="E43" s="60"/>
      <c r="F43" s="60"/>
      <c r="G43" s="60"/>
      <c r="H43" s="61">
        <f>SUM(D43:G43)</f>
        <v>0</v>
      </c>
      <c r="I43" s="60">
        <v>6</v>
      </c>
      <c r="J43" s="60">
        <v>1</v>
      </c>
      <c r="K43" s="60"/>
      <c r="L43" s="60"/>
      <c r="M43" s="61">
        <f>SUM(I43:L43)</f>
        <v>7</v>
      </c>
      <c r="N43" s="60">
        <v>2</v>
      </c>
      <c r="O43" s="60"/>
      <c r="P43" s="60"/>
      <c r="Q43" s="60"/>
      <c r="R43" s="61">
        <f>SUM(N43:Q43)</f>
        <v>2</v>
      </c>
      <c r="S43" s="60"/>
      <c r="T43" s="60"/>
      <c r="U43" s="60"/>
      <c r="V43" s="60"/>
      <c r="W43" s="61">
        <f>SUM(S43:V43)</f>
        <v>0</v>
      </c>
      <c r="X43" s="60"/>
      <c r="Y43" s="60"/>
      <c r="Z43" s="60"/>
      <c r="AA43" s="60"/>
      <c r="AB43" s="61">
        <f>SUM(X43:AA43)</f>
        <v>0</v>
      </c>
      <c r="AC43" s="60"/>
      <c r="AD43" s="60"/>
      <c r="AE43" s="60"/>
      <c r="AF43" s="60"/>
      <c r="AG43" s="61">
        <f>SUM(AC43:AF43)</f>
        <v>0</v>
      </c>
      <c r="AH43" s="60"/>
      <c r="AI43" s="60"/>
      <c r="AJ43" s="60"/>
      <c r="AK43" s="60"/>
      <c r="AL43" s="61">
        <f>SUM(AH43:AK43)</f>
        <v>0</v>
      </c>
      <c r="AM43" s="68">
        <f t="shared" si="0"/>
        <v>9</v>
      </c>
    </row>
    <row r="44" spans="1:39" hidden="1" x14ac:dyDescent="0.35">
      <c r="B44" s="54"/>
      <c r="C44" s="63" t="s">
        <v>235</v>
      </c>
      <c r="D44" s="63">
        <v>9</v>
      </c>
      <c r="E44" s="63"/>
      <c r="F44" s="63"/>
      <c r="G44" s="63"/>
      <c r="H44" s="61">
        <f>SUM(D44:G44)</f>
        <v>9</v>
      </c>
      <c r="I44" s="63"/>
      <c r="J44" s="63"/>
      <c r="K44" s="63"/>
      <c r="L44" s="63"/>
      <c r="M44" s="61">
        <f>SUM(I44:L44)</f>
        <v>0</v>
      </c>
      <c r="N44" s="63"/>
      <c r="O44" s="63">
        <v>2</v>
      </c>
      <c r="P44" s="63"/>
      <c r="Q44" s="63"/>
      <c r="R44" s="61">
        <f>SUM(N44:Q44)</f>
        <v>2</v>
      </c>
      <c r="S44" s="63"/>
      <c r="T44" s="63"/>
      <c r="U44" s="63"/>
      <c r="V44" s="63"/>
      <c r="W44" s="61">
        <f>SUM(S44:V44)</f>
        <v>0</v>
      </c>
      <c r="X44" s="63"/>
      <c r="Y44" s="63"/>
      <c r="Z44" s="63"/>
      <c r="AA44" s="63"/>
      <c r="AB44" s="61">
        <f>SUM(X44:AA44)</f>
        <v>0</v>
      </c>
      <c r="AC44" s="63"/>
      <c r="AD44" s="63"/>
      <c r="AE44" s="63"/>
      <c r="AF44" s="63"/>
      <c r="AG44" s="61">
        <f>SUM(AC44:AF44)</f>
        <v>0</v>
      </c>
      <c r="AH44" s="63"/>
      <c r="AI44" s="63"/>
      <c r="AJ44" s="63"/>
      <c r="AK44" s="63"/>
      <c r="AL44" s="61">
        <f>SUM(AH44:AK44)</f>
        <v>0</v>
      </c>
      <c r="AM44" s="68">
        <f t="shared" si="0"/>
        <v>11</v>
      </c>
    </row>
    <row r="45" spans="1:39" hidden="1" x14ac:dyDescent="0.35">
      <c r="A45" s="66" t="s">
        <v>249</v>
      </c>
      <c r="B45" s="67" t="s">
        <v>248</v>
      </c>
      <c r="C45" s="66"/>
      <c r="D45" s="66">
        <f t="shared" ref="D45:AL45" si="9">SUM(D41:D44)</f>
        <v>25</v>
      </c>
      <c r="E45" s="66">
        <f t="shared" si="9"/>
        <v>1</v>
      </c>
      <c r="F45" s="58">
        <f t="shared" si="9"/>
        <v>0</v>
      </c>
      <c r="G45" s="66">
        <f t="shared" si="9"/>
        <v>0</v>
      </c>
      <c r="H45" s="61">
        <f t="shared" si="9"/>
        <v>26</v>
      </c>
      <c r="I45" s="66">
        <f t="shared" si="9"/>
        <v>6</v>
      </c>
      <c r="J45" s="66">
        <f t="shared" si="9"/>
        <v>1</v>
      </c>
      <c r="K45" s="58">
        <f t="shared" si="9"/>
        <v>0</v>
      </c>
      <c r="L45" s="66">
        <f t="shared" si="9"/>
        <v>0</v>
      </c>
      <c r="M45" s="61">
        <f t="shared" si="9"/>
        <v>7</v>
      </c>
      <c r="N45" s="66">
        <f t="shared" si="9"/>
        <v>4</v>
      </c>
      <c r="O45" s="66">
        <f t="shared" si="9"/>
        <v>3</v>
      </c>
      <c r="P45" s="58">
        <f t="shared" si="9"/>
        <v>0</v>
      </c>
      <c r="Q45" s="66">
        <f t="shared" si="9"/>
        <v>0</v>
      </c>
      <c r="R45" s="61">
        <f t="shared" si="9"/>
        <v>7</v>
      </c>
      <c r="S45" s="66">
        <f t="shared" si="9"/>
        <v>0</v>
      </c>
      <c r="T45" s="66">
        <f t="shared" si="9"/>
        <v>0</v>
      </c>
      <c r="U45" s="58">
        <f t="shared" si="9"/>
        <v>0</v>
      </c>
      <c r="V45" s="66">
        <f t="shared" si="9"/>
        <v>0</v>
      </c>
      <c r="W45" s="61">
        <f t="shared" si="9"/>
        <v>0</v>
      </c>
      <c r="X45" s="66">
        <f t="shared" si="9"/>
        <v>0</v>
      </c>
      <c r="Y45" s="66">
        <f t="shared" si="9"/>
        <v>0</v>
      </c>
      <c r="Z45" s="58">
        <f t="shared" si="9"/>
        <v>0</v>
      </c>
      <c r="AA45" s="66">
        <f t="shared" si="9"/>
        <v>0</v>
      </c>
      <c r="AB45" s="61">
        <f t="shared" si="9"/>
        <v>0</v>
      </c>
      <c r="AC45" s="66">
        <f t="shared" si="9"/>
        <v>0</v>
      </c>
      <c r="AD45" s="66">
        <f t="shared" si="9"/>
        <v>0</v>
      </c>
      <c r="AE45" s="58">
        <f t="shared" si="9"/>
        <v>0</v>
      </c>
      <c r="AF45" s="66">
        <f t="shared" si="9"/>
        <v>0</v>
      </c>
      <c r="AG45" s="61">
        <f t="shared" si="9"/>
        <v>0</v>
      </c>
      <c r="AH45" s="66">
        <f t="shared" si="9"/>
        <v>0</v>
      </c>
      <c r="AI45" s="66">
        <f t="shared" si="9"/>
        <v>0</v>
      </c>
      <c r="AJ45" s="58">
        <f t="shared" si="9"/>
        <v>0</v>
      </c>
      <c r="AK45" s="66">
        <f t="shared" si="9"/>
        <v>0</v>
      </c>
      <c r="AL45" s="61">
        <f t="shared" si="9"/>
        <v>0</v>
      </c>
      <c r="AM45" s="68">
        <f t="shared" si="0"/>
        <v>40</v>
      </c>
    </row>
    <row r="46" spans="1:39" hidden="1" x14ac:dyDescent="0.35">
      <c r="A46" s="138" t="s">
        <v>397</v>
      </c>
      <c r="B46" s="54"/>
      <c r="C46" s="60" t="s">
        <v>225</v>
      </c>
      <c r="D46" s="60"/>
      <c r="E46" s="60"/>
      <c r="F46" s="60"/>
      <c r="G46" s="60"/>
      <c r="H46" s="61">
        <f>SUM(D46:G46)</f>
        <v>0</v>
      </c>
      <c r="I46" s="60"/>
      <c r="J46" s="60"/>
      <c r="K46" s="60"/>
      <c r="L46" s="60"/>
      <c r="M46" s="61">
        <f>SUM(I46:L46)</f>
        <v>0</v>
      </c>
      <c r="N46" s="60"/>
      <c r="O46" s="60"/>
      <c r="P46" s="60"/>
      <c r="Q46" s="60"/>
      <c r="R46" s="61">
        <f>SUM(N46:Q46)</f>
        <v>0</v>
      </c>
      <c r="S46" s="60"/>
      <c r="T46" s="60"/>
      <c r="U46" s="60"/>
      <c r="V46" s="60"/>
      <c r="W46" s="61">
        <f>SUM(S46:V46)</f>
        <v>0</v>
      </c>
      <c r="X46" s="60"/>
      <c r="Y46" s="60"/>
      <c r="Z46" s="60"/>
      <c r="AA46" s="60"/>
      <c r="AB46" s="61">
        <f>SUM(X46:AA46)</f>
        <v>0</v>
      </c>
      <c r="AC46" s="60"/>
      <c r="AD46" s="60"/>
      <c r="AE46" s="60"/>
      <c r="AF46" s="60"/>
      <c r="AG46" s="61">
        <f>SUM(AC46:AF46)</f>
        <v>0</v>
      </c>
      <c r="AH46" s="60"/>
      <c r="AI46" s="60"/>
      <c r="AJ46" s="60"/>
      <c r="AK46" s="60"/>
      <c r="AL46" s="61">
        <f>SUM(AH46:AK46)</f>
        <v>0</v>
      </c>
      <c r="AM46" s="68">
        <f t="shared" si="0"/>
        <v>0</v>
      </c>
    </row>
    <row r="47" spans="1:39" hidden="1" x14ac:dyDescent="0.35">
      <c r="A47" s="112"/>
      <c r="B47" s="54"/>
      <c r="C47" s="63" t="s">
        <v>227</v>
      </c>
      <c r="D47" s="63"/>
      <c r="E47" s="63"/>
      <c r="F47" s="63"/>
      <c r="G47" s="63"/>
      <c r="H47" s="61">
        <f>SUM(D47:G47)</f>
        <v>0</v>
      </c>
      <c r="I47" s="63"/>
      <c r="J47" s="63"/>
      <c r="K47" s="63"/>
      <c r="L47" s="63"/>
      <c r="M47" s="61">
        <f>SUM(I47:L47)</f>
        <v>0</v>
      </c>
      <c r="N47" s="63"/>
      <c r="O47" s="63"/>
      <c r="P47" s="63"/>
      <c r="Q47" s="63"/>
      <c r="R47" s="61">
        <f>SUM(N47:Q47)</f>
        <v>0</v>
      </c>
      <c r="S47" s="63"/>
      <c r="T47" s="63"/>
      <c r="U47" s="63"/>
      <c r="V47" s="63"/>
      <c r="W47" s="61">
        <f>SUM(S47:V47)</f>
        <v>0</v>
      </c>
      <c r="X47" s="63"/>
      <c r="Y47" s="63"/>
      <c r="Z47" s="63"/>
      <c r="AA47" s="63"/>
      <c r="AB47" s="61">
        <f>SUM(X47:AA47)</f>
        <v>0</v>
      </c>
      <c r="AC47" s="63"/>
      <c r="AD47" s="63"/>
      <c r="AE47" s="63"/>
      <c r="AF47" s="63"/>
      <c r="AG47" s="61">
        <f>SUM(AC47:AF47)</f>
        <v>0</v>
      </c>
      <c r="AH47" s="63"/>
      <c r="AI47" s="63"/>
      <c r="AJ47" s="63"/>
      <c r="AK47" s="63"/>
      <c r="AL47" s="61">
        <f>SUM(AH47:AK47)</f>
        <v>0</v>
      </c>
      <c r="AM47" s="68">
        <f t="shared" si="0"/>
        <v>0</v>
      </c>
    </row>
    <row r="48" spans="1:39" hidden="1" x14ac:dyDescent="0.35">
      <c r="B48" s="54"/>
      <c r="C48" s="60" t="s">
        <v>228</v>
      </c>
      <c r="D48" s="60"/>
      <c r="E48" s="60"/>
      <c r="F48" s="60"/>
      <c r="G48" s="60"/>
      <c r="H48" s="61">
        <f>SUM(D48:G48)</f>
        <v>0</v>
      </c>
      <c r="I48" s="60"/>
      <c r="J48" s="60"/>
      <c r="K48" s="60"/>
      <c r="L48" s="60"/>
      <c r="M48" s="61">
        <f>SUM(I48:L48)</f>
        <v>0</v>
      </c>
      <c r="N48" s="60"/>
      <c r="O48" s="60"/>
      <c r="P48" s="60"/>
      <c r="Q48" s="60"/>
      <c r="R48" s="61">
        <f>SUM(N48:Q48)</f>
        <v>0</v>
      </c>
      <c r="S48" s="60"/>
      <c r="T48" s="60"/>
      <c r="U48" s="60"/>
      <c r="V48" s="60"/>
      <c r="W48" s="61">
        <f>SUM(S48:V48)</f>
        <v>0</v>
      </c>
      <c r="X48" s="60"/>
      <c r="Y48" s="60"/>
      <c r="Z48" s="60"/>
      <c r="AA48" s="60"/>
      <c r="AB48" s="61">
        <f>SUM(X48:AA48)</f>
        <v>0</v>
      </c>
      <c r="AC48" s="60"/>
      <c r="AD48" s="60"/>
      <c r="AE48" s="60"/>
      <c r="AF48" s="60"/>
      <c r="AG48" s="61">
        <f>SUM(AC48:AF48)</f>
        <v>0</v>
      </c>
      <c r="AH48" s="60"/>
      <c r="AI48" s="60"/>
      <c r="AJ48" s="60"/>
      <c r="AK48" s="60"/>
      <c r="AL48" s="61">
        <f>SUM(AH48:AK48)</f>
        <v>0</v>
      </c>
      <c r="AM48" s="68">
        <f t="shared" si="0"/>
        <v>0</v>
      </c>
    </row>
    <row r="49" spans="1:39" hidden="1" x14ac:dyDescent="0.35">
      <c r="B49" s="54"/>
      <c r="C49" s="63" t="s">
        <v>235</v>
      </c>
      <c r="D49" s="63"/>
      <c r="E49" s="63"/>
      <c r="F49" s="63"/>
      <c r="G49" s="63"/>
      <c r="H49" s="61">
        <f>SUM(D49:G49)</f>
        <v>0</v>
      </c>
      <c r="I49" s="63"/>
      <c r="J49" s="63"/>
      <c r="K49" s="63"/>
      <c r="L49" s="63"/>
      <c r="M49" s="61">
        <f>SUM(I49:L49)</f>
        <v>0</v>
      </c>
      <c r="N49" s="63"/>
      <c r="O49" s="63"/>
      <c r="P49" s="63"/>
      <c r="Q49" s="63"/>
      <c r="R49" s="61">
        <f>SUM(N49:Q49)</f>
        <v>0</v>
      </c>
      <c r="S49" s="63"/>
      <c r="T49" s="63"/>
      <c r="U49" s="63"/>
      <c r="V49" s="63"/>
      <c r="W49" s="61">
        <f>SUM(S49:V49)</f>
        <v>0</v>
      </c>
      <c r="X49" s="63"/>
      <c r="Y49" s="63"/>
      <c r="Z49" s="63"/>
      <c r="AA49" s="63"/>
      <c r="AB49" s="61">
        <f>SUM(X49:AA49)</f>
        <v>0</v>
      </c>
      <c r="AC49" s="63"/>
      <c r="AD49" s="63"/>
      <c r="AE49" s="63"/>
      <c r="AF49" s="63"/>
      <c r="AG49" s="61">
        <f>SUM(AC49:AF49)</f>
        <v>0</v>
      </c>
      <c r="AH49" s="63"/>
      <c r="AI49" s="63"/>
      <c r="AJ49" s="63"/>
      <c r="AK49" s="63"/>
      <c r="AL49" s="61">
        <f>SUM(AH49:AK49)</f>
        <v>0</v>
      </c>
      <c r="AM49" s="68">
        <f t="shared" si="0"/>
        <v>0</v>
      </c>
    </row>
    <row r="50" spans="1:39" hidden="1" x14ac:dyDescent="0.35">
      <c r="A50" s="66" t="s">
        <v>397</v>
      </c>
      <c r="B50" s="67"/>
      <c r="C50" s="73"/>
      <c r="D50" s="73">
        <f t="shared" ref="D50:AL50" si="10">SUM(D46:D49)</f>
        <v>0</v>
      </c>
      <c r="E50" s="73">
        <f t="shared" si="10"/>
        <v>0</v>
      </c>
      <c r="F50" s="73">
        <f t="shared" si="10"/>
        <v>0</v>
      </c>
      <c r="G50" s="73">
        <f t="shared" si="10"/>
        <v>0</v>
      </c>
      <c r="H50" s="56">
        <f t="shared" si="10"/>
        <v>0</v>
      </c>
      <c r="I50" s="73">
        <f t="shared" si="10"/>
        <v>0</v>
      </c>
      <c r="J50" s="73">
        <f t="shared" si="10"/>
        <v>0</v>
      </c>
      <c r="K50" s="58">
        <f t="shared" si="10"/>
        <v>0</v>
      </c>
      <c r="L50" s="73">
        <f t="shared" si="10"/>
        <v>0</v>
      </c>
      <c r="M50" s="56">
        <f t="shared" si="10"/>
        <v>0</v>
      </c>
      <c r="N50" s="73">
        <f t="shared" si="10"/>
        <v>0</v>
      </c>
      <c r="O50" s="73">
        <f t="shared" si="10"/>
        <v>0</v>
      </c>
      <c r="P50" s="58">
        <f t="shared" si="10"/>
        <v>0</v>
      </c>
      <c r="Q50" s="73">
        <f t="shared" si="10"/>
        <v>0</v>
      </c>
      <c r="R50" s="56">
        <f t="shared" si="10"/>
        <v>0</v>
      </c>
      <c r="S50" s="73">
        <f t="shared" si="10"/>
        <v>0</v>
      </c>
      <c r="T50" s="73">
        <f t="shared" si="10"/>
        <v>0</v>
      </c>
      <c r="U50" s="58">
        <f t="shared" si="10"/>
        <v>0</v>
      </c>
      <c r="V50" s="73">
        <f t="shared" si="10"/>
        <v>0</v>
      </c>
      <c r="W50" s="56">
        <f t="shared" si="10"/>
        <v>0</v>
      </c>
      <c r="X50" s="73">
        <f t="shared" si="10"/>
        <v>0</v>
      </c>
      <c r="Y50" s="73">
        <f t="shared" si="10"/>
        <v>0</v>
      </c>
      <c r="Z50" s="58">
        <f t="shared" si="10"/>
        <v>0</v>
      </c>
      <c r="AA50" s="73">
        <f t="shared" si="10"/>
        <v>0</v>
      </c>
      <c r="AB50" s="56">
        <f t="shared" si="10"/>
        <v>0</v>
      </c>
      <c r="AC50" s="73">
        <f t="shared" si="10"/>
        <v>0</v>
      </c>
      <c r="AD50" s="73">
        <f t="shared" si="10"/>
        <v>0</v>
      </c>
      <c r="AE50" s="58">
        <f t="shared" si="10"/>
        <v>0</v>
      </c>
      <c r="AF50" s="73">
        <f t="shared" si="10"/>
        <v>0</v>
      </c>
      <c r="AG50" s="56">
        <f t="shared" si="10"/>
        <v>0</v>
      </c>
      <c r="AH50" s="73">
        <f t="shared" si="10"/>
        <v>0</v>
      </c>
      <c r="AI50" s="73">
        <f t="shared" si="10"/>
        <v>0</v>
      </c>
      <c r="AJ50" s="58">
        <f t="shared" si="10"/>
        <v>0</v>
      </c>
      <c r="AK50" s="73">
        <f t="shared" si="10"/>
        <v>0</v>
      </c>
      <c r="AL50" s="56">
        <f t="shared" si="10"/>
        <v>0</v>
      </c>
      <c r="AM50" s="74">
        <f t="shared" si="0"/>
        <v>0</v>
      </c>
    </row>
    <row r="51" spans="1:39" x14ac:dyDescent="0.35">
      <c r="A51" s="66" t="s">
        <v>247</v>
      </c>
      <c r="B51" s="67" t="s">
        <v>248</v>
      </c>
      <c r="C51" s="66"/>
      <c r="D51" s="66">
        <f t="shared" ref="D51:AL51" si="11">SUM(D50,D45)</f>
        <v>25</v>
      </c>
      <c r="E51" s="66">
        <f t="shared" si="11"/>
        <v>1</v>
      </c>
      <c r="F51" s="66">
        <f t="shared" si="11"/>
        <v>0</v>
      </c>
      <c r="G51" s="66">
        <f t="shared" si="11"/>
        <v>0</v>
      </c>
      <c r="H51" s="61">
        <f t="shared" si="11"/>
        <v>26</v>
      </c>
      <c r="I51" s="66">
        <f t="shared" si="11"/>
        <v>6</v>
      </c>
      <c r="J51" s="66">
        <f t="shared" si="11"/>
        <v>1</v>
      </c>
      <c r="K51" s="66">
        <f t="shared" si="11"/>
        <v>0</v>
      </c>
      <c r="L51" s="66">
        <f t="shared" si="11"/>
        <v>0</v>
      </c>
      <c r="M51" s="61">
        <f t="shared" si="11"/>
        <v>7</v>
      </c>
      <c r="N51" s="66">
        <f t="shared" si="11"/>
        <v>4</v>
      </c>
      <c r="O51" s="66">
        <f t="shared" si="11"/>
        <v>3</v>
      </c>
      <c r="P51" s="66">
        <f t="shared" si="11"/>
        <v>0</v>
      </c>
      <c r="Q51" s="66">
        <f t="shared" si="11"/>
        <v>0</v>
      </c>
      <c r="R51" s="61">
        <f t="shared" si="11"/>
        <v>7</v>
      </c>
      <c r="S51" s="66">
        <f t="shared" si="11"/>
        <v>0</v>
      </c>
      <c r="T51" s="66">
        <f t="shared" si="11"/>
        <v>0</v>
      </c>
      <c r="U51" s="66">
        <f t="shared" si="11"/>
        <v>0</v>
      </c>
      <c r="V51" s="66">
        <f t="shared" si="11"/>
        <v>0</v>
      </c>
      <c r="W51" s="61">
        <f t="shared" si="11"/>
        <v>0</v>
      </c>
      <c r="X51" s="66">
        <f t="shared" si="11"/>
        <v>0</v>
      </c>
      <c r="Y51" s="66">
        <f t="shared" si="11"/>
        <v>0</v>
      </c>
      <c r="Z51" s="66">
        <f t="shared" si="11"/>
        <v>0</v>
      </c>
      <c r="AA51" s="66">
        <f t="shared" si="11"/>
        <v>0</v>
      </c>
      <c r="AB51" s="61">
        <f t="shared" si="11"/>
        <v>0</v>
      </c>
      <c r="AC51" s="66">
        <f t="shared" si="11"/>
        <v>0</v>
      </c>
      <c r="AD51" s="66">
        <f t="shared" si="11"/>
        <v>0</v>
      </c>
      <c r="AE51" s="66">
        <f t="shared" si="11"/>
        <v>0</v>
      </c>
      <c r="AF51" s="66">
        <f t="shared" si="11"/>
        <v>0</v>
      </c>
      <c r="AG51" s="61">
        <f t="shared" si="11"/>
        <v>0</v>
      </c>
      <c r="AH51" s="66">
        <f t="shared" si="11"/>
        <v>0</v>
      </c>
      <c r="AI51" s="66">
        <f t="shared" si="11"/>
        <v>0</v>
      </c>
      <c r="AJ51" s="66">
        <f t="shared" si="11"/>
        <v>0</v>
      </c>
      <c r="AK51" s="66">
        <f t="shared" si="11"/>
        <v>0</v>
      </c>
      <c r="AL51" s="61">
        <f t="shared" si="11"/>
        <v>0</v>
      </c>
      <c r="AM51" s="68">
        <f t="shared" si="0"/>
        <v>40</v>
      </c>
    </row>
    <row r="52" spans="1:39" hidden="1" x14ac:dyDescent="0.35">
      <c r="A52" s="59" t="s">
        <v>251</v>
      </c>
      <c r="B52" s="54">
        <v>25</v>
      </c>
      <c r="C52" s="60" t="s">
        <v>225</v>
      </c>
      <c r="D52" s="60"/>
      <c r="E52" s="60"/>
      <c r="F52" s="60"/>
      <c r="G52" s="60"/>
      <c r="H52" s="61">
        <f>SUM(D52:G52)</f>
        <v>0</v>
      </c>
      <c r="I52" s="60"/>
      <c r="J52" s="60"/>
      <c r="K52" s="60"/>
      <c r="L52" s="60"/>
      <c r="M52" s="61">
        <f>SUM(I52:L52)</f>
        <v>0</v>
      </c>
      <c r="N52" s="60"/>
      <c r="O52" s="60"/>
      <c r="P52" s="60"/>
      <c r="Q52" s="60"/>
      <c r="R52" s="61">
        <f>SUM(N52:Q52)</f>
        <v>0</v>
      </c>
      <c r="S52" s="60"/>
      <c r="T52" s="60"/>
      <c r="U52" s="60"/>
      <c r="V52" s="60"/>
      <c r="W52" s="61">
        <f>SUM(S52:V52)</f>
        <v>0</v>
      </c>
      <c r="X52" s="60"/>
      <c r="Y52" s="60"/>
      <c r="Z52" s="60"/>
      <c r="AA52" s="60"/>
      <c r="AB52" s="61">
        <f>SUM(X52:AA52)</f>
        <v>0</v>
      </c>
      <c r="AC52" s="60"/>
      <c r="AD52" s="60"/>
      <c r="AE52" s="60"/>
      <c r="AF52" s="60"/>
      <c r="AG52" s="61">
        <f>SUM(AC52:AF52)</f>
        <v>0</v>
      </c>
      <c r="AH52" s="60"/>
      <c r="AI52" s="60"/>
      <c r="AJ52" s="60"/>
      <c r="AK52" s="60"/>
      <c r="AL52" s="61">
        <f>SUM(AH52:AK52)</f>
        <v>0</v>
      </c>
      <c r="AM52" s="68">
        <f t="shared" si="0"/>
        <v>0</v>
      </c>
    </row>
    <row r="53" spans="1:39" hidden="1" x14ac:dyDescent="0.35">
      <c r="A53" s="112" t="s">
        <v>245</v>
      </c>
      <c r="B53" s="54"/>
      <c r="C53" s="63" t="s">
        <v>227</v>
      </c>
      <c r="D53" s="63"/>
      <c r="E53" s="63"/>
      <c r="F53" s="63"/>
      <c r="G53" s="63"/>
      <c r="H53" s="61">
        <f>SUM(D53:G53)</f>
        <v>0</v>
      </c>
      <c r="I53" s="63"/>
      <c r="J53" s="63"/>
      <c r="K53" s="63"/>
      <c r="L53" s="63"/>
      <c r="M53" s="61">
        <f>SUM(I53:L53)</f>
        <v>0</v>
      </c>
      <c r="N53" s="63"/>
      <c r="O53" s="63"/>
      <c r="P53" s="63"/>
      <c r="Q53" s="63"/>
      <c r="R53" s="61">
        <f>SUM(N53:Q53)</f>
        <v>0</v>
      </c>
      <c r="S53" s="63"/>
      <c r="T53" s="63"/>
      <c r="U53" s="63"/>
      <c r="V53" s="63"/>
      <c r="W53" s="61">
        <f>SUM(S53:V53)</f>
        <v>0</v>
      </c>
      <c r="X53" s="63"/>
      <c r="Y53" s="63"/>
      <c r="Z53" s="63"/>
      <c r="AA53" s="63"/>
      <c r="AB53" s="61">
        <f>SUM(X53:AA53)</f>
        <v>0</v>
      </c>
      <c r="AC53" s="63"/>
      <c r="AD53" s="63"/>
      <c r="AE53" s="63"/>
      <c r="AF53" s="63"/>
      <c r="AG53" s="61">
        <f>SUM(AC53:AF53)</f>
        <v>0</v>
      </c>
      <c r="AH53" s="63"/>
      <c r="AI53" s="63"/>
      <c r="AJ53" s="63"/>
      <c r="AK53" s="63"/>
      <c r="AL53" s="61">
        <f>SUM(AH53:AK53)</f>
        <v>0</v>
      </c>
      <c r="AM53" s="68">
        <f t="shared" si="0"/>
        <v>0</v>
      </c>
    </row>
    <row r="54" spans="1:39" hidden="1" x14ac:dyDescent="0.35">
      <c r="A54" s="112"/>
      <c r="B54" s="54"/>
      <c r="C54" s="60" t="s">
        <v>228</v>
      </c>
      <c r="D54" s="60"/>
      <c r="E54" s="60"/>
      <c r="F54" s="60"/>
      <c r="G54" s="60"/>
      <c r="H54" s="61">
        <f>SUM(D54:G54)</f>
        <v>0</v>
      </c>
      <c r="I54" s="60"/>
      <c r="J54" s="60"/>
      <c r="K54" s="60"/>
      <c r="L54" s="60"/>
      <c r="M54" s="61">
        <f>SUM(I54:L54)</f>
        <v>0</v>
      </c>
      <c r="N54" s="60"/>
      <c r="O54" s="60"/>
      <c r="P54" s="60"/>
      <c r="Q54" s="60"/>
      <c r="R54" s="61">
        <f>SUM(N54:Q54)</f>
        <v>0</v>
      </c>
      <c r="S54" s="60"/>
      <c r="T54" s="60"/>
      <c r="U54" s="60"/>
      <c r="V54" s="60"/>
      <c r="W54" s="61">
        <f>SUM(S54:V54)</f>
        <v>0</v>
      </c>
      <c r="X54" s="60"/>
      <c r="Y54" s="60"/>
      <c r="Z54" s="60"/>
      <c r="AA54" s="60"/>
      <c r="AB54" s="61">
        <f>SUM(X54:AA54)</f>
        <v>0</v>
      </c>
      <c r="AC54" s="60"/>
      <c r="AD54" s="60"/>
      <c r="AE54" s="60"/>
      <c r="AF54" s="60"/>
      <c r="AG54" s="61">
        <f>SUM(AC54:AF54)</f>
        <v>0</v>
      </c>
      <c r="AH54" s="60"/>
      <c r="AI54" s="60"/>
      <c r="AJ54" s="60"/>
      <c r="AK54" s="60"/>
      <c r="AL54" s="61">
        <f>SUM(AH54:AK54)</f>
        <v>0</v>
      </c>
      <c r="AM54" s="68">
        <f t="shared" si="0"/>
        <v>0</v>
      </c>
    </row>
    <row r="55" spans="1:39" hidden="1" x14ac:dyDescent="0.35">
      <c r="B55" s="54"/>
      <c r="C55" s="63" t="s">
        <v>235</v>
      </c>
      <c r="D55" s="63">
        <v>4</v>
      </c>
      <c r="E55" s="63"/>
      <c r="F55" s="63"/>
      <c r="G55" s="63"/>
      <c r="H55" s="61">
        <f>SUM(D55:G55)</f>
        <v>4</v>
      </c>
      <c r="I55" s="63"/>
      <c r="J55" s="63"/>
      <c r="K55" s="63"/>
      <c r="L55" s="63"/>
      <c r="M55" s="61">
        <f>SUM(I55:L55)</f>
        <v>0</v>
      </c>
      <c r="N55" s="63">
        <v>1</v>
      </c>
      <c r="O55" s="63"/>
      <c r="P55" s="63"/>
      <c r="Q55" s="63"/>
      <c r="R55" s="61">
        <f>SUM(N55:Q55)</f>
        <v>1</v>
      </c>
      <c r="S55" s="63"/>
      <c r="T55" s="63"/>
      <c r="U55" s="63"/>
      <c r="V55" s="63"/>
      <c r="W55" s="61">
        <f>SUM(S55:V55)</f>
        <v>0</v>
      </c>
      <c r="X55" s="63"/>
      <c r="Y55" s="63"/>
      <c r="Z55" s="63"/>
      <c r="AA55" s="63"/>
      <c r="AB55" s="61">
        <f>SUM(X55:AA55)</f>
        <v>0</v>
      </c>
      <c r="AC55" s="63"/>
      <c r="AD55" s="63"/>
      <c r="AE55" s="63"/>
      <c r="AF55" s="63"/>
      <c r="AG55" s="61">
        <f>SUM(AC55:AF55)</f>
        <v>0</v>
      </c>
      <c r="AH55" s="63"/>
      <c r="AI55" s="63"/>
      <c r="AJ55" s="63"/>
      <c r="AK55" s="63"/>
      <c r="AL55" s="61">
        <f>SUM(AH55:AK55)</f>
        <v>0</v>
      </c>
      <c r="AM55" s="68">
        <f t="shared" si="0"/>
        <v>5</v>
      </c>
    </row>
    <row r="56" spans="1:39" x14ac:dyDescent="0.35">
      <c r="A56" s="66" t="s">
        <v>252</v>
      </c>
      <c r="B56" s="67">
        <v>25</v>
      </c>
      <c r="C56" s="66"/>
      <c r="D56" s="66">
        <f t="shared" ref="D56:AL56" si="12">SUM(D52:D55)</f>
        <v>4</v>
      </c>
      <c r="E56" s="66">
        <f t="shared" si="12"/>
        <v>0</v>
      </c>
      <c r="F56" s="66">
        <f t="shared" si="12"/>
        <v>0</v>
      </c>
      <c r="G56" s="66">
        <f t="shared" si="12"/>
        <v>0</v>
      </c>
      <c r="H56" s="61">
        <f t="shared" si="12"/>
        <v>4</v>
      </c>
      <c r="I56" s="66">
        <f t="shared" si="12"/>
        <v>0</v>
      </c>
      <c r="J56" s="66">
        <f t="shared" si="12"/>
        <v>0</v>
      </c>
      <c r="K56" s="66">
        <f t="shared" si="12"/>
        <v>0</v>
      </c>
      <c r="L56" s="66">
        <f t="shared" si="12"/>
        <v>0</v>
      </c>
      <c r="M56" s="61">
        <f t="shared" si="12"/>
        <v>0</v>
      </c>
      <c r="N56" s="66">
        <f t="shared" si="12"/>
        <v>1</v>
      </c>
      <c r="O56" s="66">
        <f t="shared" si="12"/>
        <v>0</v>
      </c>
      <c r="P56" s="66">
        <f t="shared" si="12"/>
        <v>0</v>
      </c>
      <c r="Q56" s="66">
        <f t="shared" si="12"/>
        <v>0</v>
      </c>
      <c r="R56" s="61">
        <f t="shared" si="12"/>
        <v>1</v>
      </c>
      <c r="S56" s="66">
        <f t="shared" si="12"/>
        <v>0</v>
      </c>
      <c r="T56" s="66">
        <f t="shared" si="12"/>
        <v>0</v>
      </c>
      <c r="U56" s="66">
        <f t="shared" si="12"/>
        <v>0</v>
      </c>
      <c r="V56" s="66">
        <f t="shared" si="12"/>
        <v>0</v>
      </c>
      <c r="W56" s="61">
        <f t="shared" si="12"/>
        <v>0</v>
      </c>
      <c r="X56" s="66">
        <f t="shared" si="12"/>
        <v>0</v>
      </c>
      <c r="Y56" s="66">
        <f t="shared" si="12"/>
        <v>0</v>
      </c>
      <c r="Z56" s="66">
        <f t="shared" si="12"/>
        <v>0</v>
      </c>
      <c r="AA56" s="66">
        <f t="shared" si="12"/>
        <v>0</v>
      </c>
      <c r="AB56" s="61">
        <f t="shared" si="12"/>
        <v>0</v>
      </c>
      <c r="AC56" s="66">
        <f t="shared" si="12"/>
        <v>0</v>
      </c>
      <c r="AD56" s="66">
        <f t="shared" si="12"/>
        <v>0</v>
      </c>
      <c r="AE56" s="66">
        <f t="shared" si="12"/>
        <v>0</v>
      </c>
      <c r="AF56" s="66">
        <f t="shared" si="12"/>
        <v>0</v>
      </c>
      <c r="AG56" s="61">
        <f t="shared" si="12"/>
        <v>0</v>
      </c>
      <c r="AH56" s="66">
        <f t="shared" si="12"/>
        <v>0</v>
      </c>
      <c r="AI56" s="66">
        <f t="shared" si="12"/>
        <v>0</v>
      </c>
      <c r="AJ56" s="66">
        <f t="shared" si="12"/>
        <v>0</v>
      </c>
      <c r="AK56" s="66">
        <f t="shared" si="12"/>
        <v>0</v>
      </c>
      <c r="AL56" s="61">
        <f t="shared" si="12"/>
        <v>0</v>
      </c>
      <c r="AM56" s="68">
        <f t="shared" si="0"/>
        <v>5</v>
      </c>
    </row>
    <row r="57" spans="1:39" hidden="1" x14ac:dyDescent="0.35">
      <c r="A57" s="59" t="s">
        <v>403</v>
      </c>
      <c r="B57" s="54" t="s">
        <v>255</v>
      </c>
      <c r="C57" s="60" t="s">
        <v>225</v>
      </c>
      <c r="D57" s="60"/>
      <c r="E57" s="60"/>
      <c r="F57" s="60"/>
      <c r="G57" s="60"/>
      <c r="H57" s="61">
        <f>SUM(D57:G57)</f>
        <v>0</v>
      </c>
      <c r="I57" s="60"/>
      <c r="J57" s="60"/>
      <c r="K57" s="60"/>
      <c r="L57" s="60"/>
      <c r="M57" s="61">
        <f>SUM(I57:L57)</f>
        <v>0</v>
      </c>
      <c r="N57" s="60"/>
      <c r="O57" s="60"/>
      <c r="P57" s="60"/>
      <c r="Q57" s="60"/>
      <c r="R57" s="61">
        <f>SUM(N57:Q57)</f>
        <v>0</v>
      </c>
      <c r="S57" s="60"/>
      <c r="T57" s="60"/>
      <c r="U57" s="60"/>
      <c r="V57" s="60"/>
      <c r="W57" s="61">
        <f>SUM(S57:V57)</f>
        <v>0</v>
      </c>
      <c r="X57" s="60"/>
      <c r="Y57" s="60"/>
      <c r="Z57" s="60"/>
      <c r="AA57" s="60"/>
      <c r="AB57" s="61">
        <f>SUM(X57:AA57)</f>
        <v>0</v>
      </c>
      <c r="AC57" s="60"/>
      <c r="AD57" s="60"/>
      <c r="AE57" s="60"/>
      <c r="AF57" s="60"/>
      <c r="AG57" s="61">
        <f>SUM(AC57:AF57)</f>
        <v>0</v>
      </c>
      <c r="AH57" s="60"/>
      <c r="AI57" s="60"/>
      <c r="AJ57" s="60"/>
      <c r="AK57" s="60"/>
      <c r="AL57" s="61">
        <f>SUM(AH57:AK57)</f>
        <v>0</v>
      </c>
      <c r="AM57" s="68">
        <f t="shared" si="0"/>
        <v>0</v>
      </c>
    </row>
    <row r="58" spans="1:39" hidden="1" x14ac:dyDescent="0.35">
      <c r="A58" s="111" t="s">
        <v>254</v>
      </c>
      <c r="B58" s="54"/>
      <c r="C58" s="63" t="s">
        <v>227</v>
      </c>
      <c r="D58" s="63"/>
      <c r="E58" s="63"/>
      <c r="F58" s="63"/>
      <c r="G58" s="63"/>
      <c r="H58" s="61">
        <f>SUM(D58:G58)</f>
        <v>0</v>
      </c>
      <c r="I58" s="63"/>
      <c r="J58" s="63"/>
      <c r="K58" s="63"/>
      <c r="L58" s="63"/>
      <c r="M58" s="61">
        <f>SUM(I58:L58)</f>
        <v>0</v>
      </c>
      <c r="N58" s="63"/>
      <c r="O58" s="63"/>
      <c r="P58" s="63"/>
      <c r="Q58" s="63"/>
      <c r="R58" s="61">
        <f>SUM(N58:Q58)</f>
        <v>0</v>
      </c>
      <c r="S58" s="63"/>
      <c r="T58" s="63"/>
      <c r="U58" s="63"/>
      <c r="V58" s="63"/>
      <c r="W58" s="61">
        <f>SUM(S58:V58)</f>
        <v>0</v>
      </c>
      <c r="X58" s="63"/>
      <c r="Y58" s="63"/>
      <c r="Z58" s="63"/>
      <c r="AA58" s="63"/>
      <c r="AB58" s="61">
        <f>SUM(X58:AA58)</f>
        <v>0</v>
      </c>
      <c r="AC58" s="63"/>
      <c r="AD58" s="63"/>
      <c r="AE58" s="63"/>
      <c r="AF58" s="63"/>
      <c r="AG58" s="61">
        <f>SUM(AC58:AF58)</f>
        <v>0</v>
      </c>
      <c r="AH58" s="63"/>
      <c r="AI58" s="63"/>
      <c r="AJ58" s="63"/>
      <c r="AK58" s="63"/>
      <c r="AL58" s="61">
        <f>SUM(AH58:AK58)</f>
        <v>0</v>
      </c>
      <c r="AM58" s="68">
        <f t="shared" si="0"/>
        <v>0</v>
      </c>
    </row>
    <row r="59" spans="1:39" hidden="1" x14ac:dyDescent="0.35">
      <c r="A59" s="111"/>
      <c r="B59" s="54"/>
      <c r="C59" s="60" t="s">
        <v>228</v>
      </c>
      <c r="D59" s="60"/>
      <c r="E59" s="60"/>
      <c r="F59" s="60"/>
      <c r="G59" s="60"/>
      <c r="H59" s="61">
        <f>SUM(D59:G59)</f>
        <v>0</v>
      </c>
      <c r="I59" s="60"/>
      <c r="J59" s="60"/>
      <c r="K59" s="60"/>
      <c r="L59" s="60"/>
      <c r="M59" s="61">
        <f>SUM(I59:L59)</f>
        <v>0</v>
      </c>
      <c r="N59" s="60"/>
      <c r="O59" s="60"/>
      <c r="P59" s="60"/>
      <c r="Q59" s="60"/>
      <c r="R59" s="61">
        <f>SUM(N59:Q59)</f>
        <v>0</v>
      </c>
      <c r="S59" s="60"/>
      <c r="T59" s="60"/>
      <c r="U59" s="60"/>
      <c r="V59" s="60"/>
      <c r="W59" s="61">
        <f>SUM(S59:V59)</f>
        <v>0</v>
      </c>
      <c r="X59" s="60"/>
      <c r="Y59" s="60"/>
      <c r="Z59" s="60"/>
      <c r="AA59" s="60"/>
      <c r="AB59" s="61">
        <f>SUM(X59:AA59)</f>
        <v>0</v>
      </c>
      <c r="AC59" s="60"/>
      <c r="AD59" s="60"/>
      <c r="AE59" s="60"/>
      <c r="AF59" s="60"/>
      <c r="AG59" s="61">
        <f>SUM(AC59:AF59)</f>
        <v>0</v>
      </c>
      <c r="AH59" s="60"/>
      <c r="AI59" s="60"/>
      <c r="AJ59" s="60"/>
      <c r="AK59" s="60"/>
      <c r="AL59" s="61">
        <f>SUM(AH59:AK59)</f>
        <v>0</v>
      </c>
      <c r="AM59" s="68">
        <f t="shared" si="0"/>
        <v>0</v>
      </c>
    </row>
    <row r="60" spans="1:39" hidden="1" x14ac:dyDescent="0.35">
      <c r="B60" s="54"/>
      <c r="C60" s="63" t="s">
        <v>235</v>
      </c>
      <c r="D60" s="63"/>
      <c r="E60" s="63"/>
      <c r="F60" s="63"/>
      <c r="G60" s="63"/>
      <c r="H60" s="61">
        <f>SUM(D60:G60)</f>
        <v>0</v>
      </c>
      <c r="I60" s="63"/>
      <c r="J60" s="63"/>
      <c r="K60" s="63"/>
      <c r="L60" s="63"/>
      <c r="M60" s="61">
        <f>SUM(I60:L60)</f>
        <v>0</v>
      </c>
      <c r="N60" s="63"/>
      <c r="O60" s="63"/>
      <c r="P60" s="63"/>
      <c r="Q60" s="63"/>
      <c r="R60" s="61">
        <f>SUM(N60:Q60)</f>
        <v>0</v>
      </c>
      <c r="S60" s="63"/>
      <c r="T60" s="63"/>
      <c r="U60" s="63"/>
      <c r="V60" s="63"/>
      <c r="W60" s="61">
        <f>SUM(S60:V60)</f>
        <v>0</v>
      </c>
      <c r="X60" s="63"/>
      <c r="Y60" s="63"/>
      <c r="Z60" s="63"/>
      <c r="AA60" s="63"/>
      <c r="AB60" s="61">
        <f>SUM(X60:AA60)</f>
        <v>0</v>
      </c>
      <c r="AC60" s="63"/>
      <c r="AD60" s="63"/>
      <c r="AE60" s="63"/>
      <c r="AF60" s="63"/>
      <c r="AG60" s="61">
        <f>SUM(AC60:AF60)</f>
        <v>0</v>
      </c>
      <c r="AH60" s="63"/>
      <c r="AI60" s="63"/>
      <c r="AJ60" s="63"/>
      <c r="AK60" s="63"/>
      <c r="AL60" s="61">
        <f>SUM(AH60:AK60)</f>
        <v>0</v>
      </c>
      <c r="AM60" s="68">
        <f t="shared" si="0"/>
        <v>0</v>
      </c>
    </row>
    <row r="61" spans="1:39" x14ac:dyDescent="0.35">
      <c r="A61" s="66" t="s">
        <v>403</v>
      </c>
      <c r="B61" s="67" t="s">
        <v>255</v>
      </c>
      <c r="C61" s="66"/>
      <c r="D61" s="66">
        <f t="shared" ref="D61:Y61" si="13">SUM(D57:D60)</f>
        <v>0</v>
      </c>
      <c r="E61" s="66">
        <f t="shared" si="13"/>
        <v>0</v>
      </c>
      <c r="F61" s="66">
        <f t="shared" si="13"/>
        <v>0</v>
      </c>
      <c r="G61" s="66">
        <f t="shared" si="13"/>
        <v>0</v>
      </c>
      <c r="H61" s="61">
        <f t="shared" si="13"/>
        <v>0</v>
      </c>
      <c r="I61" s="66">
        <f t="shared" si="13"/>
        <v>0</v>
      </c>
      <c r="J61" s="66">
        <f t="shared" si="13"/>
        <v>0</v>
      </c>
      <c r="K61" s="66">
        <f t="shared" si="13"/>
        <v>0</v>
      </c>
      <c r="L61" s="66">
        <f t="shared" si="13"/>
        <v>0</v>
      </c>
      <c r="M61" s="61">
        <f t="shared" si="13"/>
        <v>0</v>
      </c>
      <c r="N61" s="66">
        <f t="shared" si="13"/>
        <v>0</v>
      </c>
      <c r="O61" s="66">
        <f t="shared" si="13"/>
        <v>0</v>
      </c>
      <c r="P61" s="66">
        <f t="shared" si="13"/>
        <v>0</v>
      </c>
      <c r="Q61" s="66">
        <f t="shared" si="13"/>
        <v>0</v>
      </c>
      <c r="R61" s="61">
        <f t="shared" si="13"/>
        <v>0</v>
      </c>
      <c r="S61" s="66">
        <f t="shared" si="13"/>
        <v>0</v>
      </c>
      <c r="T61" s="66">
        <f t="shared" si="13"/>
        <v>0</v>
      </c>
      <c r="U61" s="66">
        <f t="shared" si="13"/>
        <v>0</v>
      </c>
      <c r="V61" s="66">
        <f t="shared" si="13"/>
        <v>0</v>
      </c>
      <c r="W61" s="61">
        <f t="shared" si="13"/>
        <v>0</v>
      </c>
      <c r="X61" s="66">
        <f t="shared" si="13"/>
        <v>0</v>
      </c>
      <c r="Y61" s="66">
        <f t="shared" si="13"/>
        <v>0</v>
      </c>
      <c r="Z61" s="66">
        <v>0</v>
      </c>
      <c r="AA61" s="66">
        <f>SUM(AA57:AA60)</f>
        <v>0</v>
      </c>
      <c r="AB61" s="61">
        <f>SUM(AB57:AB60)</f>
        <v>0</v>
      </c>
      <c r="AC61" s="66">
        <f>SUM(AC57:AC60)</f>
        <v>0</v>
      </c>
      <c r="AD61" s="66">
        <f>SUM(AD57:AD60)</f>
        <v>0</v>
      </c>
      <c r="AE61" s="66"/>
      <c r="AF61" s="66">
        <f t="shared" ref="AF61:AL61" si="14">SUM(AF57:AF60)</f>
        <v>0</v>
      </c>
      <c r="AG61" s="61">
        <f t="shared" si="14"/>
        <v>0</v>
      </c>
      <c r="AH61" s="66">
        <f t="shared" si="14"/>
        <v>0</v>
      </c>
      <c r="AI61" s="66">
        <f t="shared" si="14"/>
        <v>0</v>
      </c>
      <c r="AJ61" s="66">
        <f t="shared" si="14"/>
        <v>0</v>
      </c>
      <c r="AK61" s="66">
        <f t="shared" si="14"/>
        <v>0</v>
      </c>
      <c r="AL61" s="61">
        <f t="shared" si="14"/>
        <v>0</v>
      </c>
      <c r="AM61" s="68">
        <f t="shared" si="0"/>
        <v>0</v>
      </c>
    </row>
    <row r="62" spans="1:39" hidden="1" x14ac:dyDescent="0.35">
      <c r="A62" s="59" t="s">
        <v>256</v>
      </c>
      <c r="B62" s="54">
        <v>25</v>
      </c>
      <c r="C62" s="60" t="s">
        <v>225</v>
      </c>
      <c r="D62" s="60">
        <v>3</v>
      </c>
      <c r="E62" s="60"/>
      <c r="F62" s="60"/>
      <c r="G62" s="60"/>
      <c r="H62" s="61">
        <f>SUM(D62:G62)</f>
        <v>3</v>
      </c>
      <c r="I62" s="60">
        <v>2</v>
      </c>
      <c r="J62" s="60"/>
      <c r="K62" s="60"/>
      <c r="L62" s="60"/>
      <c r="M62" s="61">
        <f>SUM(I62:L62)</f>
        <v>2</v>
      </c>
      <c r="N62" s="60"/>
      <c r="O62" s="60"/>
      <c r="P62" s="60"/>
      <c r="Q62" s="60"/>
      <c r="R62" s="61">
        <f>SUM(N62:Q62)</f>
        <v>0</v>
      </c>
      <c r="S62" s="60"/>
      <c r="T62" s="60"/>
      <c r="U62" s="60"/>
      <c r="V62" s="60"/>
      <c r="W62" s="61">
        <f>SUM(S62:V62)</f>
        <v>0</v>
      </c>
      <c r="X62" s="60"/>
      <c r="Y62" s="60"/>
      <c r="Z62" s="60"/>
      <c r="AA62" s="60"/>
      <c r="AB62" s="61">
        <f>SUM(X62:AA62)</f>
        <v>0</v>
      </c>
      <c r="AC62" s="60">
        <v>2</v>
      </c>
      <c r="AD62" s="60"/>
      <c r="AE62" s="60"/>
      <c r="AF62" s="60"/>
      <c r="AG62" s="61">
        <f>SUM(AC62:AF62)</f>
        <v>2</v>
      </c>
      <c r="AH62" s="60"/>
      <c r="AI62" s="60"/>
      <c r="AJ62" s="60"/>
      <c r="AK62" s="60"/>
      <c r="AL62" s="61">
        <f>SUM(AH62:AK62)</f>
        <v>0</v>
      </c>
      <c r="AM62" s="68">
        <f t="shared" si="0"/>
        <v>7</v>
      </c>
    </row>
    <row r="63" spans="1:39" hidden="1" x14ac:dyDescent="0.35">
      <c r="A63" s="112" t="s">
        <v>257</v>
      </c>
      <c r="B63" s="54"/>
      <c r="C63" s="63" t="s">
        <v>227</v>
      </c>
      <c r="D63" s="63">
        <v>5</v>
      </c>
      <c r="E63" s="63"/>
      <c r="F63" s="63"/>
      <c r="G63" s="63"/>
      <c r="H63" s="61">
        <f>SUM(D63:G63)</f>
        <v>5</v>
      </c>
      <c r="I63" s="63"/>
      <c r="J63" s="63"/>
      <c r="K63" s="63"/>
      <c r="L63" s="63"/>
      <c r="M63" s="61">
        <f>SUM(I63:L63)</f>
        <v>0</v>
      </c>
      <c r="N63" s="63">
        <v>1</v>
      </c>
      <c r="O63" s="63"/>
      <c r="P63" s="63"/>
      <c r="Q63" s="63"/>
      <c r="R63" s="61">
        <f>SUM(N63:Q63)</f>
        <v>1</v>
      </c>
      <c r="S63" s="63"/>
      <c r="T63" s="63"/>
      <c r="U63" s="63"/>
      <c r="V63" s="63"/>
      <c r="W63" s="61">
        <f>SUM(S63:V63)</f>
        <v>0</v>
      </c>
      <c r="X63" s="63"/>
      <c r="Y63" s="63"/>
      <c r="Z63" s="63"/>
      <c r="AA63" s="63"/>
      <c r="AB63" s="61">
        <f>SUM(X63:AA63)</f>
        <v>0</v>
      </c>
      <c r="AC63" s="63">
        <v>1</v>
      </c>
      <c r="AD63" s="63"/>
      <c r="AE63" s="63"/>
      <c r="AF63" s="63"/>
      <c r="AG63" s="61">
        <f>SUM(AC63:AF63)</f>
        <v>1</v>
      </c>
      <c r="AH63" s="63"/>
      <c r="AI63" s="63"/>
      <c r="AJ63" s="63"/>
      <c r="AK63" s="63"/>
      <c r="AL63" s="61">
        <f>SUM(AH63:AK63)</f>
        <v>0</v>
      </c>
      <c r="AM63" s="68">
        <f t="shared" si="0"/>
        <v>7</v>
      </c>
    </row>
    <row r="64" spans="1:39" hidden="1" x14ac:dyDescent="0.35">
      <c r="A64" s="112"/>
      <c r="B64" s="54"/>
      <c r="C64" s="60" t="s">
        <v>228</v>
      </c>
      <c r="D64" s="60">
        <v>6</v>
      </c>
      <c r="E64" s="60"/>
      <c r="F64" s="60"/>
      <c r="G64" s="60"/>
      <c r="H64" s="61">
        <f>SUM(D64:G64)</f>
        <v>6</v>
      </c>
      <c r="I64" s="60"/>
      <c r="J64" s="60"/>
      <c r="K64" s="60"/>
      <c r="L64" s="60"/>
      <c r="M64" s="61">
        <f>SUM(I64:L64)</f>
        <v>0</v>
      </c>
      <c r="N64" s="60">
        <v>2</v>
      </c>
      <c r="O64" s="60"/>
      <c r="P64" s="60"/>
      <c r="Q64" s="60"/>
      <c r="R64" s="61">
        <f>SUM(N64:Q64)</f>
        <v>2</v>
      </c>
      <c r="S64" s="60"/>
      <c r="T64" s="60"/>
      <c r="U64" s="60"/>
      <c r="V64" s="60"/>
      <c r="W64" s="61">
        <f>SUM(S64:V64)</f>
        <v>0</v>
      </c>
      <c r="X64" s="60"/>
      <c r="Y64" s="60"/>
      <c r="Z64" s="60"/>
      <c r="AA64" s="60"/>
      <c r="AB64" s="61">
        <f>SUM(X64:AA64)</f>
        <v>0</v>
      </c>
      <c r="AC64" s="60">
        <v>1</v>
      </c>
      <c r="AD64" s="60"/>
      <c r="AE64" s="60"/>
      <c r="AF64" s="60"/>
      <c r="AG64" s="61">
        <f>SUM(AC64:AF64)</f>
        <v>1</v>
      </c>
      <c r="AH64" s="60"/>
      <c r="AI64" s="60"/>
      <c r="AJ64" s="60"/>
      <c r="AK64" s="60"/>
      <c r="AL64" s="61">
        <f>SUM(AH64:AK64)</f>
        <v>0</v>
      </c>
      <c r="AM64" s="68">
        <f t="shared" si="0"/>
        <v>9</v>
      </c>
    </row>
    <row r="65" spans="1:39" hidden="1" x14ac:dyDescent="0.35">
      <c r="B65" s="54"/>
      <c r="C65" s="63" t="s">
        <v>235</v>
      </c>
      <c r="D65" s="63">
        <v>2</v>
      </c>
      <c r="E65" s="63"/>
      <c r="F65" s="63"/>
      <c r="G65" s="63"/>
      <c r="H65" s="61">
        <f>SUM(D65:G65)</f>
        <v>2</v>
      </c>
      <c r="I65" s="63"/>
      <c r="J65" s="63"/>
      <c r="K65" s="63"/>
      <c r="L65" s="63"/>
      <c r="M65" s="61">
        <f>SUM(I65:L65)</f>
        <v>0</v>
      </c>
      <c r="N65" s="63"/>
      <c r="O65" s="63"/>
      <c r="P65" s="63"/>
      <c r="Q65" s="63"/>
      <c r="R65" s="61">
        <f>SUM(N65:Q65)</f>
        <v>0</v>
      </c>
      <c r="S65" s="63"/>
      <c r="T65" s="63"/>
      <c r="U65" s="63"/>
      <c r="V65" s="63"/>
      <c r="W65" s="61">
        <f>SUM(S65:V65)</f>
        <v>0</v>
      </c>
      <c r="X65" s="63"/>
      <c r="Y65" s="63"/>
      <c r="Z65" s="63"/>
      <c r="AA65" s="63"/>
      <c r="AB65" s="61">
        <f>SUM(X65:AA65)</f>
        <v>0</v>
      </c>
      <c r="AC65" s="63"/>
      <c r="AD65" s="63"/>
      <c r="AE65" s="63"/>
      <c r="AF65" s="63"/>
      <c r="AG65" s="61">
        <f>SUM(AC65:AF65)</f>
        <v>0</v>
      </c>
      <c r="AH65" s="63"/>
      <c r="AI65" s="63"/>
      <c r="AJ65" s="63"/>
      <c r="AK65" s="63"/>
      <c r="AL65" s="61">
        <f>SUM(AH65:AK65)</f>
        <v>0</v>
      </c>
      <c r="AM65" s="68">
        <f t="shared" si="0"/>
        <v>2</v>
      </c>
    </row>
    <row r="66" spans="1:39" x14ac:dyDescent="0.35">
      <c r="A66" s="66" t="s">
        <v>258</v>
      </c>
      <c r="B66" s="67">
        <v>25</v>
      </c>
      <c r="C66" s="66"/>
      <c r="D66" s="66">
        <f t="shared" ref="D66:AL66" si="15">SUM(D62:D65)</f>
        <v>16</v>
      </c>
      <c r="E66" s="66">
        <f t="shared" si="15"/>
        <v>0</v>
      </c>
      <c r="F66" s="66">
        <f t="shared" si="15"/>
        <v>0</v>
      </c>
      <c r="G66" s="66">
        <f t="shared" si="15"/>
        <v>0</v>
      </c>
      <c r="H66" s="61">
        <f t="shared" si="15"/>
        <v>16</v>
      </c>
      <c r="I66" s="66">
        <f t="shared" si="15"/>
        <v>2</v>
      </c>
      <c r="J66" s="66">
        <f t="shared" si="15"/>
        <v>0</v>
      </c>
      <c r="K66" s="66">
        <f t="shared" si="15"/>
        <v>0</v>
      </c>
      <c r="L66" s="66">
        <f t="shared" si="15"/>
        <v>0</v>
      </c>
      <c r="M66" s="61">
        <f t="shared" si="15"/>
        <v>2</v>
      </c>
      <c r="N66" s="66">
        <f t="shared" si="15"/>
        <v>3</v>
      </c>
      <c r="O66" s="66">
        <f t="shared" si="15"/>
        <v>0</v>
      </c>
      <c r="P66" s="66">
        <f t="shared" si="15"/>
        <v>0</v>
      </c>
      <c r="Q66" s="66">
        <f t="shared" si="15"/>
        <v>0</v>
      </c>
      <c r="R66" s="61">
        <f t="shared" si="15"/>
        <v>3</v>
      </c>
      <c r="S66" s="66">
        <f t="shared" si="15"/>
        <v>0</v>
      </c>
      <c r="T66" s="66">
        <f t="shared" si="15"/>
        <v>0</v>
      </c>
      <c r="U66" s="66">
        <f t="shared" si="15"/>
        <v>0</v>
      </c>
      <c r="V66" s="66">
        <f t="shared" si="15"/>
        <v>0</v>
      </c>
      <c r="W66" s="61">
        <f t="shared" si="15"/>
        <v>0</v>
      </c>
      <c r="X66" s="66">
        <f t="shared" si="15"/>
        <v>0</v>
      </c>
      <c r="Y66" s="66">
        <f t="shared" si="15"/>
        <v>0</v>
      </c>
      <c r="Z66" s="66">
        <f t="shared" si="15"/>
        <v>0</v>
      </c>
      <c r="AA66" s="66">
        <f t="shared" si="15"/>
        <v>0</v>
      </c>
      <c r="AB66" s="61">
        <f t="shared" si="15"/>
        <v>0</v>
      </c>
      <c r="AC66" s="66">
        <f t="shared" si="15"/>
        <v>4</v>
      </c>
      <c r="AD66" s="66">
        <f t="shared" si="15"/>
        <v>0</v>
      </c>
      <c r="AE66" s="66">
        <f t="shared" si="15"/>
        <v>0</v>
      </c>
      <c r="AF66" s="66">
        <f t="shared" si="15"/>
        <v>0</v>
      </c>
      <c r="AG66" s="61">
        <f t="shared" si="15"/>
        <v>4</v>
      </c>
      <c r="AH66" s="66">
        <f t="shared" si="15"/>
        <v>0</v>
      </c>
      <c r="AI66" s="66">
        <f t="shared" si="15"/>
        <v>0</v>
      </c>
      <c r="AJ66" s="66">
        <f t="shared" si="15"/>
        <v>0</v>
      </c>
      <c r="AK66" s="66">
        <f t="shared" si="15"/>
        <v>0</v>
      </c>
      <c r="AL66" s="61">
        <f t="shared" si="15"/>
        <v>0</v>
      </c>
      <c r="AM66" s="68">
        <f t="shared" si="0"/>
        <v>25</v>
      </c>
    </row>
    <row r="67" spans="1:39" hidden="1" x14ac:dyDescent="0.35">
      <c r="A67" s="59" t="s">
        <v>402</v>
      </c>
      <c r="B67" s="54" t="s">
        <v>261</v>
      </c>
      <c r="C67" s="60" t="s">
        <v>225</v>
      </c>
      <c r="D67" s="60">
        <v>1</v>
      </c>
      <c r="E67" s="60"/>
      <c r="F67" s="60"/>
      <c r="G67" s="60"/>
      <c r="H67" s="61">
        <f>SUM(D67:G67)</f>
        <v>1</v>
      </c>
      <c r="I67" s="60"/>
      <c r="J67" s="60"/>
      <c r="K67" s="60"/>
      <c r="L67" s="60"/>
      <c r="M67" s="61">
        <f>SUM(I67:L67)</f>
        <v>0</v>
      </c>
      <c r="N67" s="60"/>
      <c r="O67" s="60"/>
      <c r="P67" s="60"/>
      <c r="Q67" s="60"/>
      <c r="R67" s="61">
        <f>SUM(N67:Q67)</f>
        <v>0</v>
      </c>
      <c r="S67" s="60"/>
      <c r="T67" s="60"/>
      <c r="U67" s="60"/>
      <c r="V67" s="60"/>
      <c r="W67" s="61">
        <f>SUM(S67:V67)</f>
        <v>0</v>
      </c>
      <c r="X67" s="60"/>
      <c r="Y67" s="60"/>
      <c r="Z67" s="60"/>
      <c r="AA67" s="60"/>
      <c r="AB67" s="61">
        <f>SUM(X67:AA67)</f>
        <v>0</v>
      </c>
      <c r="AC67" s="60"/>
      <c r="AD67" s="60"/>
      <c r="AE67" s="60"/>
      <c r="AF67" s="60"/>
      <c r="AG67" s="61">
        <f>SUM(AC67:AF67)</f>
        <v>0</v>
      </c>
      <c r="AH67" s="60"/>
      <c r="AI67" s="60"/>
      <c r="AJ67" s="60"/>
      <c r="AK67" s="60"/>
      <c r="AL67" s="61">
        <f>SUM(AH67:AK67)</f>
        <v>0</v>
      </c>
      <c r="AM67" s="68">
        <f t="shared" si="0"/>
        <v>1</v>
      </c>
    </row>
    <row r="68" spans="1:39" hidden="1" x14ac:dyDescent="0.35">
      <c r="A68" s="112" t="s">
        <v>399</v>
      </c>
      <c r="B68" s="54"/>
      <c r="C68" s="63" t="s">
        <v>227</v>
      </c>
      <c r="D68" s="63">
        <v>3</v>
      </c>
      <c r="E68" s="63"/>
      <c r="F68" s="63"/>
      <c r="G68" s="63"/>
      <c r="H68" s="61">
        <f>SUM(D68:G68)</f>
        <v>3</v>
      </c>
      <c r="I68" s="63"/>
      <c r="J68" s="63"/>
      <c r="K68" s="63"/>
      <c r="L68" s="63"/>
      <c r="M68" s="61">
        <f>SUM(I68:L68)</f>
        <v>0</v>
      </c>
      <c r="N68" s="63"/>
      <c r="O68" s="63"/>
      <c r="P68" s="63"/>
      <c r="Q68" s="63"/>
      <c r="R68" s="61">
        <f>SUM(N68:Q68)</f>
        <v>0</v>
      </c>
      <c r="S68" s="63"/>
      <c r="T68" s="63"/>
      <c r="U68" s="63"/>
      <c r="V68" s="63"/>
      <c r="W68" s="61">
        <f>SUM(S68:V68)</f>
        <v>0</v>
      </c>
      <c r="X68" s="63"/>
      <c r="Y68" s="63"/>
      <c r="Z68" s="63"/>
      <c r="AA68" s="63"/>
      <c r="AB68" s="61">
        <f>SUM(X68:AA68)</f>
        <v>0</v>
      </c>
      <c r="AC68" s="63"/>
      <c r="AD68" s="63"/>
      <c r="AE68" s="63"/>
      <c r="AF68" s="63"/>
      <c r="AG68" s="61">
        <f>SUM(AC68:AF68)</f>
        <v>0</v>
      </c>
      <c r="AH68" s="63"/>
      <c r="AI68" s="63"/>
      <c r="AJ68" s="63"/>
      <c r="AK68" s="63"/>
      <c r="AL68" s="61">
        <f>SUM(AH68:AK68)</f>
        <v>0</v>
      </c>
      <c r="AM68" s="68">
        <f t="shared" si="0"/>
        <v>3</v>
      </c>
    </row>
    <row r="69" spans="1:39" hidden="1" x14ac:dyDescent="0.35">
      <c r="A69" s="112"/>
      <c r="B69" s="54"/>
      <c r="C69" s="60" t="s">
        <v>228</v>
      </c>
      <c r="D69" s="60"/>
      <c r="E69" s="60"/>
      <c r="F69" s="60"/>
      <c r="G69" s="60"/>
      <c r="H69" s="61">
        <f>SUM(D69:G69)</f>
        <v>0</v>
      </c>
      <c r="I69" s="60"/>
      <c r="J69" s="60"/>
      <c r="K69" s="60"/>
      <c r="L69" s="60"/>
      <c r="M69" s="61">
        <f>SUM(I69:L69)</f>
        <v>0</v>
      </c>
      <c r="N69" s="60"/>
      <c r="O69" s="60"/>
      <c r="P69" s="60"/>
      <c r="Q69" s="60"/>
      <c r="R69" s="61">
        <f>SUM(N69:Q69)</f>
        <v>0</v>
      </c>
      <c r="S69" s="60"/>
      <c r="T69" s="60"/>
      <c r="U69" s="60"/>
      <c r="V69" s="60"/>
      <c r="W69" s="61">
        <f>SUM(S69:V69)</f>
        <v>0</v>
      </c>
      <c r="X69" s="60"/>
      <c r="Y69" s="60"/>
      <c r="Z69" s="60"/>
      <c r="AA69" s="60"/>
      <c r="AB69" s="61">
        <f>SUM(X69:AA69)</f>
        <v>0</v>
      </c>
      <c r="AC69" s="60">
        <v>1</v>
      </c>
      <c r="AD69" s="60"/>
      <c r="AE69" s="60"/>
      <c r="AF69" s="60"/>
      <c r="AG69" s="61">
        <f>SUM(AC69:AF69)</f>
        <v>1</v>
      </c>
      <c r="AH69" s="60">
        <v>1</v>
      </c>
      <c r="AI69" s="60"/>
      <c r="AJ69" s="60"/>
      <c r="AK69" s="60"/>
      <c r="AL69" s="61">
        <f>SUM(AH69:AK69)</f>
        <v>1</v>
      </c>
      <c r="AM69" s="68">
        <f t="shared" ref="AM69:AM132" si="16">SUM(H69,M69,R69,W69,AB69,AG69,AL69)</f>
        <v>2</v>
      </c>
    </row>
    <row r="70" spans="1:39" hidden="1" x14ac:dyDescent="0.35">
      <c r="B70" s="54"/>
      <c r="C70" s="63" t="s">
        <v>235</v>
      </c>
      <c r="D70" s="63">
        <v>3</v>
      </c>
      <c r="E70" s="63"/>
      <c r="F70" s="63"/>
      <c r="G70" s="63"/>
      <c r="H70" s="61">
        <f>SUM(D70:G70)</f>
        <v>3</v>
      </c>
      <c r="I70" s="63"/>
      <c r="J70" s="63"/>
      <c r="K70" s="63"/>
      <c r="L70" s="63"/>
      <c r="M70" s="61">
        <f>SUM(I70:L70)</f>
        <v>0</v>
      </c>
      <c r="N70" s="63">
        <v>4</v>
      </c>
      <c r="O70" s="63"/>
      <c r="P70" s="63"/>
      <c r="Q70" s="63"/>
      <c r="R70" s="61">
        <f>SUM(N70:Q70)</f>
        <v>4</v>
      </c>
      <c r="S70" s="63"/>
      <c r="T70" s="63"/>
      <c r="U70" s="63"/>
      <c r="V70" s="63"/>
      <c r="W70" s="61">
        <f>SUM(S70:V70)</f>
        <v>0</v>
      </c>
      <c r="X70" s="63"/>
      <c r="Y70" s="63"/>
      <c r="Z70" s="63"/>
      <c r="AA70" s="63"/>
      <c r="AB70" s="61">
        <f>SUM(X70:AA70)</f>
        <v>0</v>
      </c>
      <c r="AC70" s="63">
        <v>2</v>
      </c>
      <c r="AD70" s="63"/>
      <c r="AE70" s="63"/>
      <c r="AF70" s="63"/>
      <c r="AG70" s="61">
        <f>SUM(AC70:AF70)</f>
        <v>2</v>
      </c>
      <c r="AH70" s="63">
        <v>2</v>
      </c>
      <c r="AI70" s="63"/>
      <c r="AJ70" s="63"/>
      <c r="AK70" s="63"/>
      <c r="AL70" s="61">
        <f>SUM(AH70:AK70)</f>
        <v>2</v>
      </c>
      <c r="AM70" s="68">
        <f t="shared" si="16"/>
        <v>11</v>
      </c>
    </row>
    <row r="71" spans="1:39" x14ac:dyDescent="0.35">
      <c r="A71" s="66" t="s">
        <v>402</v>
      </c>
      <c r="B71" s="67" t="s">
        <v>261</v>
      </c>
      <c r="C71" s="66"/>
      <c r="D71" s="66">
        <f t="shared" ref="D71:AL71" si="17">SUM(D67:D70)</f>
        <v>7</v>
      </c>
      <c r="E71" s="66">
        <f t="shared" si="17"/>
        <v>0</v>
      </c>
      <c r="F71" s="66">
        <f t="shared" si="17"/>
        <v>0</v>
      </c>
      <c r="G71" s="66">
        <f t="shared" si="17"/>
        <v>0</v>
      </c>
      <c r="H71" s="61">
        <f t="shared" si="17"/>
        <v>7</v>
      </c>
      <c r="I71" s="66">
        <f t="shared" si="17"/>
        <v>0</v>
      </c>
      <c r="J71" s="66">
        <f t="shared" si="17"/>
        <v>0</v>
      </c>
      <c r="K71" s="66">
        <f t="shared" si="17"/>
        <v>0</v>
      </c>
      <c r="L71" s="66">
        <f t="shared" si="17"/>
        <v>0</v>
      </c>
      <c r="M71" s="61">
        <f t="shared" si="17"/>
        <v>0</v>
      </c>
      <c r="N71" s="66">
        <f t="shared" si="17"/>
        <v>4</v>
      </c>
      <c r="O71" s="66">
        <f t="shared" si="17"/>
        <v>0</v>
      </c>
      <c r="P71" s="66">
        <f t="shared" si="17"/>
        <v>0</v>
      </c>
      <c r="Q71" s="66">
        <f t="shared" si="17"/>
        <v>0</v>
      </c>
      <c r="R71" s="61">
        <f t="shared" si="17"/>
        <v>4</v>
      </c>
      <c r="S71" s="66">
        <f t="shared" si="17"/>
        <v>0</v>
      </c>
      <c r="T71" s="66">
        <f t="shared" si="17"/>
        <v>0</v>
      </c>
      <c r="U71" s="66">
        <f t="shared" si="17"/>
        <v>0</v>
      </c>
      <c r="V71" s="66">
        <f t="shared" si="17"/>
        <v>0</v>
      </c>
      <c r="W71" s="61">
        <f t="shared" si="17"/>
        <v>0</v>
      </c>
      <c r="X71" s="66">
        <f t="shared" si="17"/>
        <v>0</v>
      </c>
      <c r="Y71" s="66">
        <f t="shared" si="17"/>
        <v>0</v>
      </c>
      <c r="Z71" s="66">
        <f t="shared" si="17"/>
        <v>0</v>
      </c>
      <c r="AA71" s="66">
        <f t="shared" si="17"/>
        <v>0</v>
      </c>
      <c r="AB71" s="61">
        <f t="shared" si="17"/>
        <v>0</v>
      </c>
      <c r="AC71" s="66">
        <f t="shared" si="17"/>
        <v>3</v>
      </c>
      <c r="AD71" s="66">
        <f t="shared" si="17"/>
        <v>0</v>
      </c>
      <c r="AE71" s="66">
        <f t="shared" si="17"/>
        <v>0</v>
      </c>
      <c r="AF71" s="66">
        <f t="shared" si="17"/>
        <v>0</v>
      </c>
      <c r="AG71" s="61">
        <f t="shared" si="17"/>
        <v>3</v>
      </c>
      <c r="AH71" s="66">
        <f t="shared" si="17"/>
        <v>3</v>
      </c>
      <c r="AI71" s="66">
        <f t="shared" si="17"/>
        <v>0</v>
      </c>
      <c r="AJ71" s="66">
        <f t="shared" si="17"/>
        <v>0</v>
      </c>
      <c r="AK71" s="66">
        <f t="shared" si="17"/>
        <v>0</v>
      </c>
      <c r="AL71" s="61">
        <f t="shared" si="17"/>
        <v>3</v>
      </c>
      <c r="AM71" s="68">
        <f t="shared" si="16"/>
        <v>17</v>
      </c>
    </row>
    <row r="72" spans="1:39" hidden="1" x14ac:dyDescent="0.35">
      <c r="A72" s="59" t="s">
        <v>262</v>
      </c>
      <c r="B72" s="54">
        <v>30</v>
      </c>
      <c r="C72" s="60" t="s">
        <v>225</v>
      </c>
      <c r="D72" s="60"/>
      <c r="E72" s="60"/>
      <c r="F72" s="60"/>
      <c r="G72" s="60"/>
      <c r="H72" s="61">
        <f>SUM(D72:G72)</f>
        <v>0</v>
      </c>
      <c r="I72" s="60"/>
      <c r="J72" s="60"/>
      <c r="K72" s="60"/>
      <c r="L72" s="60"/>
      <c r="M72" s="61">
        <f>SUM(I72:L72)</f>
        <v>0</v>
      </c>
      <c r="N72" s="60"/>
      <c r="O72" s="60"/>
      <c r="P72" s="60"/>
      <c r="Q72" s="60"/>
      <c r="R72" s="61">
        <f>SUM(N72:Q72)</f>
        <v>0</v>
      </c>
      <c r="S72" s="60"/>
      <c r="T72" s="60"/>
      <c r="U72" s="60"/>
      <c r="V72" s="60"/>
      <c r="W72" s="61">
        <f>SUM(S72:V72)</f>
        <v>0</v>
      </c>
      <c r="X72" s="60"/>
      <c r="Y72" s="60"/>
      <c r="Z72" s="60"/>
      <c r="AA72" s="60"/>
      <c r="AB72" s="61">
        <f>SUM(X72:AA72)</f>
        <v>0</v>
      </c>
      <c r="AC72" s="60"/>
      <c r="AD72" s="60"/>
      <c r="AE72" s="60"/>
      <c r="AF72" s="60"/>
      <c r="AG72" s="61">
        <f>SUM(AC72:AF72)</f>
        <v>0</v>
      </c>
      <c r="AH72" s="60"/>
      <c r="AI72" s="60"/>
      <c r="AJ72" s="60"/>
      <c r="AK72" s="60"/>
      <c r="AL72" s="61">
        <f>SUM(AH72:AK72)</f>
        <v>0</v>
      </c>
      <c r="AM72" s="68">
        <f t="shared" si="16"/>
        <v>0</v>
      </c>
    </row>
    <row r="73" spans="1:39" hidden="1" x14ac:dyDescent="0.35">
      <c r="A73" s="112" t="s">
        <v>263</v>
      </c>
      <c r="B73" s="54"/>
      <c r="C73" s="63" t="s">
        <v>227</v>
      </c>
      <c r="D73" s="63"/>
      <c r="E73" s="63"/>
      <c r="F73" s="63"/>
      <c r="G73" s="63"/>
      <c r="H73" s="61">
        <f>SUM(D73:G73)</f>
        <v>0</v>
      </c>
      <c r="I73" s="63"/>
      <c r="J73" s="63"/>
      <c r="K73" s="63"/>
      <c r="L73" s="63"/>
      <c r="M73" s="61">
        <f>SUM(I73:L73)</f>
        <v>0</v>
      </c>
      <c r="N73" s="63"/>
      <c r="O73" s="63"/>
      <c r="P73" s="63"/>
      <c r="Q73" s="63"/>
      <c r="R73" s="61">
        <f>SUM(N73:Q73)</f>
        <v>0</v>
      </c>
      <c r="S73" s="63"/>
      <c r="T73" s="63"/>
      <c r="U73" s="63"/>
      <c r="V73" s="63"/>
      <c r="W73" s="61">
        <f>SUM(S73:V73)</f>
        <v>0</v>
      </c>
      <c r="X73" s="63"/>
      <c r="Y73" s="63"/>
      <c r="Z73" s="63"/>
      <c r="AA73" s="63"/>
      <c r="AB73" s="61">
        <f>SUM(X73:AA73)</f>
        <v>0</v>
      </c>
      <c r="AC73" s="63"/>
      <c r="AD73" s="63"/>
      <c r="AE73" s="63"/>
      <c r="AF73" s="63"/>
      <c r="AG73" s="61">
        <f>SUM(AC73:AF73)</f>
        <v>0</v>
      </c>
      <c r="AH73" s="63"/>
      <c r="AI73" s="63"/>
      <c r="AJ73" s="63"/>
      <c r="AK73" s="63"/>
      <c r="AL73" s="61">
        <f>SUM(AH73:AK73)</f>
        <v>0</v>
      </c>
      <c r="AM73" s="68">
        <f t="shared" si="16"/>
        <v>0</v>
      </c>
    </row>
    <row r="74" spans="1:39" hidden="1" x14ac:dyDescent="0.35">
      <c r="A74" s="112"/>
      <c r="B74" s="54"/>
      <c r="C74" s="60" t="s">
        <v>228</v>
      </c>
      <c r="D74" s="60"/>
      <c r="E74" s="60"/>
      <c r="F74" s="60"/>
      <c r="G74" s="60"/>
      <c r="H74" s="61">
        <f>SUM(D74:G74)</f>
        <v>0</v>
      </c>
      <c r="I74" s="60"/>
      <c r="J74" s="60"/>
      <c r="K74" s="60"/>
      <c r="L74" s="60"/>
      <c r="M74" s="61">
        <f>SUM(I74:L74)</f>
        <v>0</v>
      </c>
      <c r="N74" s="60"/>
      <c r="O74" s="60"/>
      <c r="P74" s="60"/>
      <c r="Q74" s="60"/>
      <c r="R74" s="61">
        <f>SUM(N74:Q74)</f>
        <v>0</v>
      </c>
      <c r="S74" s="60"/>
      <c r="T74" s="60"/>
      <c r="U74" s="60"/>
      <c r="V74" s="60"/>
      <c r="W74" s="61">
        <f>SUM(S74:V74)</f>
        <v>0</v>
      </c>
      <c r="X74" s="60"/>
      <c r="Y74" s="60"/>
      <c r="Z74" s="60"/>
      <c r="AA74" s="60"/>
      <c r="AB74" s="61">
        <f>SUM(X74:AA74)</f>
        <v>0</v>
      </c>
      <c r="AC74" s="60"/>
      <c r="AD74" s="60"/>
      <c r="AE74" s="60"/>
      <c r="AF74" s="60"/>
      <c r="AG74" s="61">
        <f>SUM(AC74:AF74)</f>
        <v>0</v>
      </c>
      <c r="AH74" s="60"/>
      <c r="AI74" s="60"/>
      <c r="AJ74" s="60"/>
      <c r="AK74" s="60"/>
      <c r="AL74" s="61">
        <f>SUM(AH74:AK74)</f>
        <v>0</v>
      </c>
      <c r="AM74" s="68">
        <f t="shared" si="16"/>
        <v>0</v>
      </c>
    </row>
    <row r="75" spans="1:39" hidden="1" x14ac:dyDescent="0.35">
      <c r="B75" s="54"/>
      <c r="C75" s="63" t="s">
        <v>235</v>
      </c>
      <c r="D75" s="63"/>
      <c r="E75" s="63"/>
      <c r="F75" s="63"/>
      <c r="G75" s="63"/>
      <c r="H75" s="61">
        <f>SUM(D75:G75)</f>
        <v>0</v>
      </c>
      <c r="I75" s="63"/>
      <c r="J75" s="63"/>
      <c r="K75" s="63"/>
      <c r="L75" s="63"/>
      <c r="M75" s="61">
        <f>SUM(I75:L75)</f>
        <v>0</v>
      </c>
      <c r="N75" s="63"/>
      <c r="O75" s="63"/>
      <c r="P75" s="63"/>
      <c r="Q75" s="63"/>
      <c r="R75" s="61">
        <f>SUM(N75:Q75)</f>
        <v>0</v>
      </c>
      <c r="S75" s="63"/>
      <c r="T75" s="63"/>
      <c r="U75" s="63"/>
      <c r="V75" s="63"/>
      <c r="W75" s="61">
        <f>SUM(S75:V75)</f>
        <v>0</v>
      </c>
      <c r="X75" s="63"/>
      <c r="Y75" s="63"/>
      <c r="Z75" s="63"/>
      <c r="AA75" s="63"/>
      <c r="AB75" s="61">
        <f>SUM(X75:AA75)</f>
        <v>0</v>
      </c>
      <c r="AC75" s="63"/>
      <c r="AD75" s="63"/>
      <c r="AE75" s="63"/>
      <c r="AF75" s="63"/>
      <c r="AG75" s="61">
        <f>SUM(AC75:AF75)</f>
        <v>0</v>
      </c>
      <c r="AH75" s="63"/>
      <c r="AI75" s="63"/>
      <c r="AJ75" s="63"/>
      <c r="AK75" s="63"/>
      <c r="AL75" s="61">
        <f>SUM(AH75:AK75)</f>
        <v>0</v>
      </c>
      <c r="AM75" s="68">
        <f t="shared" si="16"/>
        <v>0</v>
      </c>
    </row>
    <row r="76" spans="1:39" x14ac:dyDescent="0.35">
      <c r="A76" s="66" t="s">
        <v>262</v>
      </c>
      <c r="B76" s="67">
        <v>30</v>
      </c>
      <c r="C76" s="66"/>
      <c r="D76" s="66">
        <f t="shared" ref="D76:AL76" si="18">SUM(D72:D75)</f>
        <v>0</v>
      </c>
      <c r="E76" s="66">
        <f t="shared" si="18"/>
        <v>0</v>
      </c>
      <c r="F76" s="66">
        <f t="shared" si="18"/>
        <v>0</v>
      </c>
      <c r="G76" s="66">
        <f t="shared" si="18"/>
        <v>0</v>
      </c>
      <c r="H76" s="61">
        <f t="shared" si="18"/>
        <v>0</v>
      </c>
      <c r="I76" s="66">
        <f t="shared" si="18"/>
        <v>0</v>
      </c>
      <c r="J76" s="66">
        <f t="shared" si="18"/>
        <v>0</v>
      </c>
      <c r="K76" s="66">
        <f t="shared" si="18"/>
        <v>0</v>
      </c>
      <c r="L76" s="66">
        <f t="shared" si="18"/>
        <v>0</v>
      </c>
      <c r="M76" s="61">
        <f t="shared" si="18"/>
        <v>0</v>
      </c>
      <c r="N76" s="66">
        <f t="shared" si="18"/>
        <v>0</v>
      </c>
      <c r="O76" s="66">
        <f t="shared" si="18"/>
        <v>0</v>
      </c>
      <c r="P76" s="66">
        <f t="shared" si="18"/>
        <v>0</v>
      </c>
      <c r="Q76" s="66">
        <f t="shared" si="18"/>
        <v>0</v>
      </c>
      <c r="R76" s="61">
        <f t="shared" si="18"/>
        <v>0</v>
      </c>
      <c r="S76" s="66">
        <f t="shared" si="18"/>
        <v>0</v>
      </c>
      <c r="T76" s="66">
        <f t="shared" si="18"/>
        <v>0</v>
      </c>
      <c r="U76" s="66">
        <f t="shared" si="18"/>
        <v>0</v>
      </c>
      <c r="V76" s="66">
        <f t="shared" si="18"/>
        <v>0</v>
      </c>
      <c r="W76" s="61">
        <f t="shared" si="18"/>
        <v>0</v>
      </c>
      <c r="X76" s="66">
        <f t="shared" si="18"/>
        <v>0</v>
      </c>
      <c r="Y76" s="66">
        <f t="shared" si="18"/>
        <v>0</v>
      </c>
      <c r="Z76" s="66">
        <f t="shared" si="18"/>
        <v>0</v>
      </c>
      <c r="AA76" s="66">
        <f t="shared" si="18"/>
        <v>0</v>
      </c>
      <c r="AB76" s="61">
        <f t="shared" si="18"/>
        <v>0</v>
      </c>
      <c r="AC76" s="66">
        <f t="shared" si="18"/>
        <v>0</v>
      </c>
      <c r="AD76" s="66">
        <f t="shared" si="18"/>
        <v>0</v>
      </c>
      <c r="AE76" s="66">
        <f t="shared" si="18"/>
        <v>0</v>
      </c>
      <c r="AF76" s="66">
        <f t="shared" si="18"/>
        <v>0</v>
      </c>
      <c r="AG76" s="61">
        <f t="shared" si="18"/>
        <v>0</v>
      </c>
      <c r="AH76" s="66">
        <f t="shared" si="18"/>
        <v>0</v>
      </c>
      <c r="AI76" s="66">
        <f t="shared" si="18"/>
        <v>0</v>
      </c>
      <c r="AJ76" s="66">
        <f t="shared" si="18"/>
        <v>0</v>
      </c>
      <c r="AK76" s="66">
        <f t="shared" si="18"/>
        <v>0</v>
      </c>
      <c r="AL76" s="61">
        <f t="shared" si="18"/>
        <v>0</v>
      </c>
      <c r="AM76" s="68">
        <f t="shared" si="16"/>
        <v>0</v>
      </c>
    </row>
    <row r="77" spans="1:39" hidden="1" x14ac:dyDescent="0.35">
      <c r="A77" s="59" t="s">
        <v>264</v>
      </c>
      <c r="B77" s="54">
        <v>30</v>
      </c>
      <c r="C77" s="60" t="s">
        <v>225</v>
      </c>
      <c r="D77" s="60"/>
      <c r="E77" s="60"/>
      <c r="F77" s="60"/>
      <c r="G77" s="60"/>
      <c r="H77" s="61">
        <f>SUM(D77:G77)</f>
        <v>0</v>
      </c>
      <c r="I77" s="60"/>
      <c r="J77" s="60"/>
      <c r="K77" s="60"/>
      <c r="L77" s="60"/>
      <c r="M77" s="61">
        <f>SUM(I77:L77)</f>
        <v>0</v>
      </c>
      <c r="N77" s="60"/>
      <c r="O77" s="60"/>
      <c r="P77" s="60"/>
      <c r="Q77" s="60"/>
      <c r="R77" s="61">
        <f>SUM(N77:Q77)</f>
        <v>0</v>
      </c>
      <c r="S77" s="60"/>
      <c r="T77" s="60"/>
      <c r="U77" s="60"/>
      <c r="V77" s="60"/>
      <c r="W77" s="61">
        <f>SUM(S77:V77)</f>
        <v>0</v>
      </c>
      <c r="X77" s="60"/>
      <c r="Y77" s="60"/>
      <c r="Z77" s="60"/>
      <c r="AA77" s="60"/>
      <c r="AB77" s="61">
        <f>SUM(X77:AA77)</f>
        <v>0</v>
      </c>
      <c r="AC77" s="60"/>
      <c r="AD77" s="60"/>
      <c r="AE77" s="60"/>
      <c r="AF77" s="60"/>
      <c r="AG77" s="61">
        <f>SUM(AC77:AF77)</f>
        <v>0</v>
      </c>
      <c r="AH77" s="60"/>
      <c r="AI77" s="60"/>
      <c r="AJ77" s="60"/>
      <c r="AK77" s="60"/>
      <c r="AL77" s="61">
        <f>SUM(AH77:AK77)</f>
        <v>0</v>
      </c>
      <c r="AM77" s="68">
        <f t="shared" si="16"/>
        <v>0</v>
      </c>
    </row>
    <row r="78" spans="1:39" hidden="1" x14ac:dyDescent="0.35">
      <c r="A78" s="112" t="s">
        <v>263</v>
      </c>
      <c r="B78" s="54"/>
      <c r="C78" s="63" t="s">
        <v>227</v>
      </c>
      <c r="D78" s="63"/>
      <c r="E78" s="63"/>
      <c r="F78" s="63"/>
      <c r="G78" s="63"/>
      <c r="H78" s="61">
        <f>SUM(D78:G78)</f>
        <v>0</v>
      </c>
      <c r="I78" s="63"/>
      <c r="J78" s="63"/>
      <c r="K78" s="63"/>
      <c r="L78" s="63"/>
      <c r="M78" s="61">
        <f>SUM(I78:L78)</f>
        <v>0</v>
      </c>
      <c r="N78" s="63"/>
      <c r="O78" s="63"/>
      <c r="P78" s="63"/>
      <c r="Q78" s="63"/>
      <c r="R78" s="61">
        <f>SUM(N78:Q78)</f>
        <v>0</v>
      </c>
      <c r="S78" s="63"/>
      <c r="T78" s="63"/>
      <c r="U78" s="63"/>
      <c r="V78" s="63"/>
      <c r="W78" s="61">
        <f>SUM(S78:V78)</f>
        <v>0</v>
      </c>
      <c r="X78" s="63"/>
      <c r="Y78" s="63"/>
      <c r="Z78" s="63"/>
      <c r="AA78" s="63"/>
      <c r="AB78" s="61">
        <f>SUM(X78:AA78)</f>
        <v>0</v>
      </c>
      <c r="AC78" s="63"/>
      <c r="AD78" s="63"/>
      <c r="AE78" s="63"/>
      <c r="AF78" s="63"/>
      <c r="AG78" s="61">
        <f>SUM(AC78:AF78)</f>
        <v>0</v>
      </c>
      <c r="AH78" s="63"/>
      <c r="AI78" s="63"/>
      <c r="AJ78" s="63"/>
      <c r="AK78" s="63"/>
      <c r="AL78" s="61">
        <f>SUM(AH78:AK78)</f>
        <v>0</v>
      </c>
      <c r="AM78" s="68">
        <f t="shared" si="16"/>
        <v>0</v>
      </c>
    </row>
    <row r="79" spans="1:39" hidden="1" x14ac:dyDescent="0.35">
      <c r="A79" s="112"/>
      <c r="B79" s="54"/>
      <c r="C79" s="60" t="s">
        <v>228</v>
      </c>
      <c r="D79" s="60"/>
      <c r="E79" s="60"/>
      <c r="F79" s="60"/>
      <c r="G79" s="60"/>
      <c r="H79" s="61">
        <f>SUM(D79:G79)</f>
        <v>0</v>
      </c>
      <c r="I79" s="60"/>
      <c r="J79" s="60"/>
      <c r="K79" s="60"/>
      <c r="L79" s="60"/>
      <c r="M79" s="61">
        <f>SUM(I79:L79)</f>
        <v>0</v>
      </c>
      <c r="N79" s="60"/>
      <c r="O79" s="60"/>
      <c r="P79" s="60"/>
      <c r="Q79" s="60"/>
      <c r="R79" s="61">
        <f>SUM(N79:Q79)</f>
        <v>0</v>
      </c>
      <c r="S79" s="60"/>
      <c r="T79" s="60"/>
      <c r="U79" s="60"/>
      <c r="V79" s="60"/>
      <c r="W79" s="61">
        <f>SUM(S79:V79)</f>
        <v>0</v>
      </c>
      <c r="X79" s="60"/>
      <c r="Y79" s="60"/>
      <c r="Z79" s="60"/>
      <c r="AA79" s="60"/>
      <c r="AB79" s="61">
        <f>SUM(X79:AA79)</f>
        <v>0</v>
      </c>
      <c r="AC79" s="60"/>
      <c r="AD79" s="60"/>
      <c r="AE79" s="60"/>
      <c r="AF79" s="60"/>
      <c r="AG79" s="61">
        <f>SUM(AC79:AF79)</f>
        <v>0</v>
      </c>
      <c r="AH79" s="60"/>
      <c r="AI79" s="60"/>
      <c r="AJ79" s="60"/>
      <c r="AK79" s="60"/>
      <c r="AL79" s="61">
        <f>SUM(AH79:AK79)</f>
        <v>0</v>
      </c>
      <c r="AM79" s="68">
        <f t="shared" si="16"/>
        <v>0</v>
      </c>
    </row>
    <row r="80" spans="1:39" hidden="1" x14ac:dyDescent="0.35">
      <c r="B80" s="54"/>
      <c r="C80" s="63" t="s">
        <v>235</v>
      </c>
      <c r="D80" s="63"/>
      <c r="E80" s="63"/>
      <c r="F80" s="63"/>
      <c r="G80" s="63"/>
      <c r="H80" s="61">
        <f>SUM(D80:G80)</f>
        <v>0</v>
      </c>
      <c r="I80" s="63"/>
      <c r="J80" s="63"/>
      <c r="K80" s="63"/>
      <c r="L80" s="63"/>
      <c r="M80" s="61">
        <f>SUM(I80:L80)</f>
        <v>0</v>
      </c>
      <c r="N80" s="63"/>
      <c r="O80" s="63"/>
      <c r="P80" s="63"/>
      <c r="Q80" s="63"/>
      <c r="R80" s="61">
        <f>SUM(N80:Q80)</f>
        <v>0</v>
      </c>
      <c r="S80" s="63"/>
      <c r="T80" s="63"/>
      <c r="U80" s="63"/>
      <c r="V80" s="63"/>
      <c r="W80" s="61">
        <f>SUM(S80:V80)</f>
        <v>0</v>
      </c>
      <c r="X80" s="63"/>
      <c r="Y80" s="63"/>
      <c r="Z80" s="63"/>
      <c r="AA80" s="63"/>
      <c r="AB80" s="61">
        <f>SUM(X80:AA80)</f>
        <v>0</v>
      </c>
      <c r="AC80" s="63"/>
      <c r="AD80" s="63"/>
      <c r="AE80" s="63"/>
      <c r="AF80" s="63"/>
      <c r="AG80" s="61">
        <f>SUM(AC80:AF80)</f>
        <v>0</v>
      </c>
      <c r="AH80" s="63"/>
      <c r="AI80" s="63"/>
      <c r="AJ80" s="63"/>
      <c r="AK80" s="63"/>
      <c r="AL80" s="61">
        <f>SUM(AH80:AK80)</f>
        <v>0</v>
      </c>
      <c r="AM80" s="68">
        <f t="shared" si="16"/>
        <v>0</v>
      </c>
    </row>
    <row r="81" spans="1:39" x14ac:dyDescent="0.35">
      <c r="A81" s="66" t="s">
        <v>264</v>
      </c>
      <c r="B81" s="67">
        <v>30</v>
      </c>
      <c r="C81" s="66"/>
      <c r="D81" s="66">
        <f t="shared" ref="D81:AL81" si="19">SUM(D77:D80)</f>
        <v>0</v>
      </c>
      <c r="E81" s="66">
        <f t="shared" si="19"/>
        <v>0</v>
      </c>
      <c r="F81" s="66">
        <f t="shared" si="19"/>
        <v>0</v>
      </c>
      <c r="G81" s="66">
        <f t="shared" si="19"/>
        <v>0</v>
      </c>
      <c r="H81" s="61">
        <f t="shared" si="19"/>
        <v>0</v>
      </c>
      <c r="I81" s="66">
        <f t="shared" si="19"/>
        <v>0</v>
      </c>
      <c r="J81" s="66">
        <f t="shared" si="19"/>
        <v>0</v>
      </c>
      <c r="K81" s="66">
        <f t="shared" si="19"/>
        <v>0</v>
      </c>
      <c r="L81" s="66">
        <f t="shared" si="19"/>
        <v>0</v>
      </c>
      <c r="M81" s="61">
        <f t="shared" si="19"/>
        <v>0</v>
      </c>
      <c r="N81" s="66">
        <f t="shared" si="19"/>
        <v>0</v>
      </c>
      <c r="O81" s="66">
        <f t="shared" si="19"/>
        <v>0</v>
      </c>
      <c r="P81" s="66">
        <f t="shared" si="19"/>
        <v>0</v>
      </c>
      <c r="Q81" s="66">
        <f t="shared" si="19"/>
        <v>0</v>
      </c>
      <c r="R81" s="61">
        <f t="shared" si="19"/>
        <v>0</v>
      </c>
      <c r="S81" s="66">
        <f t="shared" si="19"/>
        <v>0</v>
      </c>
      <c r="T81" s="66">
        <f t="shared" si="19"/>
        <v>0</v>
      </c>
      <c r="U81" s="66">
        <f t="shared" si="19"/>
        <v>0</v>
      </c>
      <c r="V81" s="66">
        <f t="shared" si="19"/>
        <v>0</v>
      </c>
      <c r="W81" s="61">
        <f t="shared" si="19"/>
        <v>0</v>
      </c>
      <c r="X81" s="66">
        <f t="shared" si="19"/>
        <v>0</v>
      </c>
      <c r="Y81" s="66">
        <f t="shared" si="19"/>
        <v>0</v>
      </c>
      <c r="Z81" s="66">
        <f t="shared" si="19"/>
        <v>0</v>
      </c>
      <c r="AA81" s="66">
        <f t="shared" si="19"/>
        <v>0</v>
      </c>
      <c r="AB81" s="61">
        <f t="shared" si="19"/>
        <v>0</v>
      </c>
      <c r="AC81" s="66">
        <f t="shared" si="19"/>
        <v>0</v>
      </c>
      <c r="AD81" s="66">
        <f t="shared" si="19"/>
        <v>0</v>
      </c>
      <c r="AE81" s="66">
        <f t="shared" si="19"/>
        <v>0</v>
      </c>
      <c r="AF81" s="66">
        <f t="shared" si="19"/>
        <v>0</v>
      </c>
      <c r="AG81" s="61">
        <f t="shared" si="19"/>
        <v>0</v>
      </c>
      <c r="AH81" s="66">
        <f t="shared" si="19"/>
        <v>0</v>
      </c>
      <c r="AI81" s="66">
        <f t="shared" si="19"/>
        <v>0</v>
      </c>
      <c r="AJ81" s="66">
        <f t="shared" si="19"/>
        <v>0</v>
      </c>
      <c r="AK81" s="66">
        <f t="shared" si="19"/>
        <v>0</v>
      </c>
      <c r="AL81" s="61">
        <f t="shared" si="19"/>
        <v>0</v>
      </c>
      <c r="AM81" s="68">
        <f t="shared" si="16"/>
        <v>0</v>
      </c>
    </row>
    <row r="82" spans="1:39" hidden="1" x14ac:dyDescent="0.35">
      <c r="A82" s="59" t="s">
        <v>265</v>
      </c>
      <c r="B82" s="54" t="s">
        <v>266</v>
      </c>
      <c r="C82" s="60" t="s">
        <v>225</v>
      </c>
      <c r="D82" s="60">
        <v>7</v>
      </c>
      <c r="E82" s="60"/>
      <c r="F82" s="60"/>
      <c r="G82" s="60"/>
      <c r="H82" s="61">
        <f>SUM(D82:G82)</f>
        <v>7</v>
      </c>
      <c r="I82" s="60"/>
      <c r="J82" s="60"/>
      <c r="K82" s="60"/>
      <c r="L82" s="60"/>
      <c r="M82" s="61">
        <f>SUM(I82:L82)</f>
        <v>0</v>
      </c>
      <c r="N82" s="60">
        <v>2</v>
      </c>
      <c r="O82" s="60"/>
      <c r="P82" s="60"/>
      <c r="Q82" s="60"/>
      <c r="R82" s="61">
        <f>SUM(N82:Q82)</f>
        <v>2</v>
      </c>
      <c r="S82" s="60"/>
      <c r="T82" s="60"/>
      <c r="U82" s="60"/>
      <c r="V82" s="60"/>
      <c r="W82" s="61">
        <f>SUM(S82:V82)</f>
        <v>0</v>
      </c>
      <c r="X82" s="60"/>
      <c r="Y82" s="60"/>
      <c r="Z82" s="60"/>
      <c r="AA82" s="60"/>
      <c r="AB82" s="61">
        <f>SUM(X82:AA82)</f>
        <v>0</v>
      </c>
      <c r="AC82" s="60"/>
      <c r="AD82" s="60"/>
      <c r="AE82" s="60"/>
      <c r="AF82" s="60"/>
      <c r="AG82" s="61">
        <f>SUM(AC82:AF82)</f>
        <v>0</v>
      </c>
      <c r="AH82" s="60"/>
      <c r="AI82" s="60"/>
      <c r="AJ82" s="60"/>
      <c r="AK82" s="60"/>
      <c r="AL82" s="61">
        <f>SUM(AH82:AK82)</f>
        <v>0</v>
      </c>
      <c r="AM82" s="68">
        <f t="shared" si="16"/>
        <v>9</v>
      </c>
    </row>
    <row r="83" spans="1:39" hidden="1" x14ac:dyDescent="0.35">
      <c r="A83" s="112" t="s">
        <v>267</v>
      </c>
      <c r="B83" s="54"/>
      <c r="C83" s="63" t="s">
        <v>227</v>
      </c>
      <c r="D83" s="63">
        <v>8</v>
      </c>
      <c r="E83" s="63"/>
      <c r="F83" s="63"/>
      <c r="G83" s="63"/>
      <c r="H83" s="61">
        <f>SUM(D83:G83)</f>
        <v>8</v>
      </c>
      <c r="I83" s="63"/>
      <c r="J83" s="63"/>
      <c r="K83" s="63"/>
      <c r="L83" s="63"/>
      <c r="M83" s="61">
        <f>SUM(I83:L83)</f>
        <v>0</v>
      </c>
      <c r="N83" s="63">
        <v>4</v>
      </c>
      <c r="O83" s="63"/>
      <c r="P83" s="63"/>
      <c r="Q83" s="63"/>
      <c r="R83" s="61">
        <f>SUM(N83:Q83)</f>
        <v>4</v>
      </c>
      <c r="S83" s="63"/>
      <c r="T83" s="63"/>
      <c r="U83" s="63"/>
      <c r="V83" s="63"/>
      <c r="W83" s="61">
        <f>SUM(S83:V83)</f>
        <v>0</v>
      </c>
      <c r="X83" s="63"/>
      <c r="Y83" s="63"/>
      <c r="Z83" s="63"/>
      <c r="AA83" s="63"/>
      <c r="AB83" s="61">
        <f>SUM(X83:AA83)</f>
        <v>0</v>
      </c>
      <c r="AC83" s="63"/>
      <c r="AD83" s="63"/>
      <c r="AE83" s="63"/>
      <c r="AF83" s="63"/>
      <c r="AG83" s="61">
        <f>SUM(AC83:AF83)</f>
        <v>0</v>
      </c>
      <c r="AH83" s="63"/>
      <c r="AI83" s="63"/>
      <c r="AJ83" s="63"/>
      <c r="AK83" s="63"/>
      <c r="AL83" s="61">
        <f>SUM(AH83:AK83)</f>
        <v>0</v>
      </c>
      <c r="AM83" s="68">
        <f t="shared" si="16"/>
        <v>12</v>
      </c>
    </row>
    <row r="84" spans="1:39" hidden="1" x14ac:dyDescent="0.35">
      <c r="A84" s="112"/>
      <c r="B84" s="54"/>
      <c r="C84" s="60" t="s">
        <v>228</v>
      </c>
      <c r="D84" s="60">
        <v>7</v>
      </c>
      <c r="E84" s="60"/>
      <c r="F84" s="60"/>
      <c r="G84" s="60"/>
      <c r="H84" s="61">
        <f>SUM(D84:G84)</f>
        <v>7</v>
      </c>
      <c r="I84" s="60"/>
      <c r="J84" s="60"/>
      <c r="K84" s="60"/>
      <c r="L84" s="60"/>
      <c r="M84" s="61">
        <f>SUM(I84:L84)</f>
        <v>0</v>
      </c>
      <c r="N84" s="60">
        <v>1</v>
      </c>
      <c r="O84" s="60"/>
      <c r="P84" s="60"/>
      <c r="Q84" s="60"/>
      <c r="R84" s="61">
        <f>SUM(N84:Q84)</f>
        <v>1</v>
      </c>
      <c r="S84" s="60"/>
      <c r="T84" s="60"/>
      <c r="U84" s="60"/>
      <c r="V84" s="60"/>
      <c r="W84" s="61">
        <f>SUM(S84:V84)</f>
        <v>0</v>
      </c>
      <c r="X84" s="60"/>
      <c r="Y84" s="60"/>
      <c r="Z84" s="60"/>
      <c r="AA84" s="60"/>
      <c r="AB84" s="61">
        <f>SUM(X84:AA84)</f>
        <v>0</v>
      </c>
      <c r="AC84" s="60"/>
      <c r="AD84" s="60"/>
      <c r="AE84" s="60"/>
      <c r="AF84" s="60"/>
      <c r="AG84" s="61">
        <f>SUM(AC84:AF84)</f>
        <v>0</v>
      </c>
      <c r="AH84" s="60"/>
      <c r="AI84" s="60"/>
      <c r="AJ84" s="60"/>
      <c r="AK84" s="60"/>
      <c r="AL84" s="61">
        <f>SUM(AH84:AK84)</f>
        <v>0</v>
      </c>
      <c r="AM84" s="68">
        <f t="shared" si="16"/>
        <v>8</v>
      </c>
    </row>
    <row r="85" spans="1:39" hidden="1" x14ac:dyDescent="0.35">
      <c r="B85" s="54"/>
      <c r="C85" s="63" t="s">
        <v>235</v>
      </c>
      <c r="D85" s="63">
        <v>11</v>
      </c>
      <c r="E85" s="63"/>
      <c r="F85" s="63"/>
      <c r="G85" s="63"/>
      <c r="H85" s="61">
        <f>SUM(D85:G85)</f>
        <v>11</v>
      </c>
      <c r="I85" s="63"/>
      <c r="J85" s="63"/>
      <c r="K85" s="63"/>
      <c r="L85" s="63"/>
      <c r="M85" s="61">
        <f>SUM(I85:L85)</f>
        <v>0</v>
      </c>
      <c r="N85" s="63">
        <v>2</v>
      </c>
      <c r="O85" s="63"/>
      <c r="P85" s="63"/>
      <c r="Q85" s="63"/>
      <c r="R85" s="61">
        <f>SUM(N85:Q85)</f>
        <v>2</v>
      </c>
      <c r="S85" s="63"/>
      <c r="T85" s="63"/>
      <c r="U85" s="63"/>
      <c r="V85" s="63"/>
      <c r="W85" s="61">
        <f>SUM(S85:V85)</f>
        <v>0</v>
      </c>
      <c r="X85" s="63"/>
      <c r="Y85" s="63"/>
      <c r="Z85" s="63"/>
      <c r="AA85" s="63"/>
      <c r="AB85" s="61">
        <f>SUM(X85:AA85)</f>
        <v>0</v>
      </c>
      <c r="AC85" s="63"/>
      <c r="AD85" s="63"/>
      <c r="AE85" s="63"/>
      <c r="AF85" s="63"/>
      <c r="AG85" s="61">
        <f>SUM(AC85:AF85)</f>
        <v>0</v>
      </c>
      <c r="AH85" s="63"/>
      <c r="AI85" s="63"/>
      <c r="AJ85" s="63"/>
      <c r="AK85" s="63"/>
      <c r="AL85" s="61">
        <f>SUM(AH85:AK85)</f>
        <v>0</v>
      </c>
      <c r="AM85" s="68">
        <f t="shared" si="16"/>
        <v>13</v>
      </c>
    </row>
    <row r="86" spans="1:39" x14ac:dyDescent="0.35">
      <c r="A86" s="66" t="s">
        <v>265</v>
      </c>
      <c r="B86" s="67" t="s">
        <v>266</v>
      </c>
      <c r="C86" s="66"/>
      <c r="D86" s="66">
        <f t="shared" ref="D86:AL86" si="20">SUM(D82:D85)</f>
        <v>33</v>
      </c>
      <c r="E86" s="66">
        <f t="shared" si="20"/>
        <v>0</v>
      </c>
      <c r="F86" s="66">
        <f t="shared" si="20"/>
        <v>0</v>
      </c>
      <c r="G86" s="66">
        <f t="shared" si="20"/>
        <v>0</v>
      </c>
      <c r="H86" s="61">
        <f t="shared" si="20"/>
        <v>33</v>
      </c>
      <c r="I86" s="66">
        <f t="shared" si="20"/>
        <v>0</v>
      </c>
      <c r="J86" s="66">
        <f t="shared" si="20"/>
        <v>0</v>
      </c>
      <c r="K86" s="66">
        <f t="shared" si="20"/>
        <v>0</v>
      </c>
      <c r="L86" s="66">
        <f t="shared" si="20"/>
        <v>0</v>
      </c>
      <c r="M86" s="61">
        <f t="shared" si="20"/>
        <v>0</v>
      </c>
      <c r="N86" s="66">
        <f t="shared" si="20"/>
        <v>9</v>
      </c>
      <c r="O86" s="66">
        <f t="shared" si="20"/>
        <v>0</v>
      </c>
      <c r="P86" s="66">
        <f t="shared" si="20"/>
        <v>0</v>
      </c>
      <c r="Q86" s="66">
        <f t="shared" si="20"/>
        <v>0</v>
      </c>
      <c r="R86" s="61">
        <f t="shared" si="20"/>
        <v>9</v>
      </c>
      <c r="S86" s="66">
        <f t="shared" si="20"/>
        <v>0</v>
      </c>
      <c r="T86" s="66">
        <f t="shared" si="20"/>
        <v>0</v>
      </c>
      <c r="U86" s="66">
        <f t="shared" si="20"/>
        <v>0</v>
      </c>
      <c r="V86" s="66">
        <f t="shared" si="20"/>
        <v>0</v>
      </c>
      <c r="W86" s="61">
        <f t="shared" si="20"/>
        <v>0</v>
      </c>
      <c r="X86" s="66">
        <f t="shared" si="20"/>
        <v>0</v>
      </c>
      <c r="Y86" s="66">
        <f t="shared" si="20"/>
        <v>0</v>
      </c>
      <c r="Z86" s="66">
        <f t="shared" si="20"/>
        <v>0</v>
      </c>
      <c r="AA86" s="66">
        <f t="shared" si="20"/>
        <v>0</v>
      </c>
      <c r="AB86" s="61">
        <f t="shared" si="20"/>
        <v>0</v>
      </c>
      <c r="AC86" s="66">
        <f t="shared" si="20"/>
        <v>0</v>
      </c>
      <c r="AD86" s="66">
        <f t="shared" si="20"/>
        <v>0</v>
      </c>
      <c r="AE86" s="66">
        <f t="shared" si="20"/>
        <v>0</v>
      </c>
      <c r="AF86" s="66">
        <f t="shared" si="20"/>
        <v>0</v>
      </c>
      <c r="AG86" s="61">
        <f t="shared" si="20"/>
        <v>0</v>
      </c>
      <c r="AH86" s="66">
        <f t="shared" si="20"/>
        <v>0</v>
      </c>
      <c r="AI86" s="66">
        <f t="shared" si="20"/>
        <v>0</v>
      </c>
      <c r="AJ86" s="66">
        <f t="shared" si="20"/>
        <v>0</v>
      </c>
      <c r="AK86" s="66">
        <f t="shared" si="20"/>
        <v>0</v>
      </c>
      <c r="AL86" s="61">
        <f t="shared" si="20"/>
        <v>0</v>
      </c>
      <c r="AM86" s="68">
        <f t="shared" si="16"/>
        <v>42</v>
      </c>
    </row>
    <row r="87" spans="1:39" hidden="1" x14ac:dyDescent="0.35">
      <c r="A87" s="59" t="s">
        <v>268</v>
      </c>
      <c r="B87" s="54" t="s">
        <v>255</v>
      </c>
      <c r="C87" s="60" t="s">
        <v>225</v>
      </c>
      <c r="D87" s="60"/>
      <c r="E87" s="60"/>
      <c r="F87" s="60"/>
      <c r="G87" s="60"/>
      <c r="H87" s="61">
        <f>SUM(D87:G87)</f>
        <v>0</v>
      </c>
      <c r="I87" s="60"/>
      <c r="J87" s="60"/>
      <c r="K87" s="60"/>
      <c r="L87" s="60"/>
      <c r="M87" s="61">
        <f>SUM(I87:L87)</f>
        <v>0</v>
      </c>
      <c r="N87" s="60"/>
      <c r="O87" s="60"/>
      <c r="P87" s="60"/>
      <c r="Q87" s="60"/>
      <c r="R87" s="61">
        <f>SUM(N87:Q87)</f>
        <v>0</v>
      </c>
      <c r="S87" s="60"/>
      <c r="T87" s="60"/>
      <c r="U87" s="60"/>
      <c r="V87" s="60"/>
      <c r="W87" s="61">
        <f>SUM(S87:V87)</f>
        <v>0</v>
      </c>
      <c r="X87" s="60"/>
      <c r="Y87" s="60"/>
      <c r="Z87" s="60"/>
      <c r="AA87" s="60"/>
      <c r="AB87" s="61">
        <f>SUM(X87:AA87)</f>
        <v>0</v>
      </c>
      <c r="AC87" s="60"/>
      <c r="AD87" s="60"/>
      <c r="AE87" s="60"/>
      <c r="AF87" s="60"/>
      <c r="AG87" s="61">
        <f>SUM(AC87:AF87)</f>
        <v>0</v>
      </c>
      <c r="AH87" s="60"/>
      <c r="AI87" s="60"/>
      <c r="AJ87" s="60"/>
      <c r="AK87" s="60"/>
      <c r="AL87" s="61">
        <f>SUM(AH87:AK87)</f>
        <v>0</v>
      </c>
      <c r="AM87" s="68">
        <f t="shared" si="16"/>
        <v>0</v>
      </c>
    </row>
    <row r="88" spans="1:39" hidden="1" x14ac:dyDescent="0.35">
      <c r="A88" s="111" t="s">
        <v>254</v>
      </c>
      <c r="B88" s="54"/>
      <c r="C88" s="63" t="s">
        <v>227</v>
      </c>
      <c r="D88" s="63"/>
      <c r="E88" s="63"/>
      <c r="F88" s="63"/>
      <c r="G88" s="63"/>
      <c r="H88" s="61">
        <f>SUM(D88:G88)</f>
        <v>0</v>
      </c>
      <c r="I88" s="63"/>
      <c r="J88" s="63"/>
      <c r="K88" s="63"/>
      <c r="L88" s="63"/>
      <c r="M88" s="61">
        <f>SUM(I88:L88)</f>
        <v>0</v>
      </c>
      <c r="N88" s="63"/>
      <c r="O88" s="63"/>
      <c r="P88" s="63"/>
      <c r="Q88" s="63"/>
      <c r="R88" s="61">
        <f>SUM(N88:Q88)</f>
        <v>0</v>
      </c>
      <c r="S88" s="63"/>
      <c r="T88" s="63"/>
      <c r="U88" s="63"/>
      <c r="V88" s="63"/>
      <c r="W88" s="61">
        <f>SUM(S88:V88)</f>
        <v>0</v>
      </c>
      <c r="X88" s="63"/>
      <c r="Y88" s="63"/>
      <c r="Z88" s="63"/>
      <c r="AA88" s="63"/>
      <c r="AB88" s="61">
        <f>SUM(X88:AA88)</f>
        <v>0</v>
      </c>
      <c r="AC88" s="63"/>
      <c r="AD88" s="63"/>
      <c r="AE88" s="63"/>
      <c r="AF88" s="63"/>
      <c r="AG88" s="61">
        <f>SUM(AC88:AF88)</f>
        <v>0</v>
      </c>
      <c r="AH88" s="63"/>
      <c r="AI88" s="63"/>
      <c r="AJ88" s="63"/>
      <c r="AK88" s="63"/>
      <c r="AL88" s="61">
        <f>SUM(AH88:AK88)</f>
        <v>0</v>
      </c>
      <c r="AM88" s="68">
        <f t="shared" si="16"/>
        <v>0</v>
      </c>
    </row>
    <row r="89" spans="1:39" hidden="1" x14ac:dyDescent="0.35">
      <c r="A89" s="111"/>
      <c r="B89" s="54"/>
      <c r="C89" s="60" t="s">
        <v>228</v>
      </c>
      <c r="D89" s="60"/>
      <c r="E89" s="60"/>
      <c r="F89" s="60"/>
      <c r="G89" s="60"/>
      <c r="H89" s="61">
        <f>SUM(D89:G89)</f>
        <v>0</v>
      </c>
      <c r="I89" s="60"/>
      <c r="J89" s="60"/>
      <c r="K89" s="60"/>
      <c r="L89" s="60"/>
      <c r="M89" s="61">
        <f>SUM(I89:L89)</f>
        <v>0</v>
      </c>
      <c r="N89" s="60"/>
      <c r="O89" s="60"/>
      <c r="P89" s="60"/>
      <c r="Q89" s="60"/>
      <c r="R89" s="61">
        <f>SUM(N89:Q89)</f>
        <v>0</v>
      </c>
      <c r="S89" s="60"/>
      <c r="T89" s="60"/>
      <c r="U89" s="60"/>
      <c r="V89" s="60"/>
      <c r="W89" s="61">
        <f>SUM(S89:V89)</f>
        <v>0</v>
      </c>
      <c r="X89" s="60"/>
      <c r="Y89" s="60"/>
      <c r="Z89" s="60"/>
      <c r="AA89" s="60"/>
      <c r="AB89" s="61">
        <f>SUM(X89:AA89)</f>
        <v>0</v>
      </c>
      <c r="AC89" s="60"/>
      <c r="AD89" s="60"/>
      <c r="AE89" s="60"/>
      <c r="AF89" s="60"/>
      <c r="AG89" s="61">
        <f>SUM(AC89:AF89)</f>
        <v>0</v>
      </c>
      <c r="AH89" s="60"/>
      <c r="AI89" s="60"/>
      <c r="AJ89" s="60"/>
      <c r="AK89" s="60"/>
      <c r="AL89" s="61">
        <f>SUM(AH89:AK89)</f>
        <v>0</v>
      </c>
      <c r="AM89" s="68">
        <f t="shared" si="16"/>
        <v>0</v>
      </c>
    </row>
    <row r="90" spans="1:39" hidden="1" x14ac:dyDescent="0.35">
      <c r="B90" s="54"/>
      <c r="C90" s="63" t="s">
        <v>235</v>
      </c>
      <c r="D90" s="63"/>
      <c r="E90" s="63"/>
      <c r="F90" s="63"/>
      <c r="G90" s="63"/>
      <c r="H90" s="61">
        <f>SUM(D90:G90)</f>
        <v>0</v>
      </c>
      <c r="I90" s="63"/>
      <c r="J90" s="63"/>
      <c r="K90" s="63"/>
      <c r="L90" s="63"/>
      <c r="M90" s="61">
        <f>SUM(I90:L90)</f>
        <v>0</v>
      </c>
      <c r="N90" s="63"/>
      <c r="O90" s="63"/>
      <c r="P90" s="63"/>
      <c r="Q90" s="63"/>
      <c r="R90" s="61">
        <f>SUM(N90:Q90)</f>
        <v>0</v>
      </c>
      <c r="S90" s="63"/>
      <c r="T90" s="63"/>
      <c r="U90" s="63"/>
      <c r="V90" s="63"/>
      <c r="W90" s="61">
        <f>SUM(S90:V90)</f>
        <v>0</v>
      </c>
      <c r="X90" s="63"/>
      <c r="Y90" s="63"/>
      <c r="Z90" s="63"/>
      <c r="AA90" s="63"/>
      <c r="AB90" s="61">
        <f>SUM(X90:AA90)</f>
        <v>0</v>
      </c>
      <c r="AC90" s="63"/>
      <c r="AD90" s="63"/>
      <c r="AE90" s="63"/>
      <c r="AF90" s="63"/>
      <c r="AG90" s="61">
        <f>SUM(AC90:AF90)</f>
        <v>0</v>
      </c>
      <c r="AH90" s="63"/>
      <c r="AI90" s="63"/>
      <c r="AJ90" s="63"/>
      <c r="AK90" s="63"/>
      <c r="AL90" s="61">
        <f>SUM(AH90:AK90)</f>
        <v>0</v>
      </c>
      <c r="AM90" s="68">
        <f t="shared" si="16"/>
        <v>0</v>
      </c>
    </row>
    <row r="91" spans="1:39" x14ac:dyDescent="0.35">
      <c r="A91" s="66" t="s">
        <v>268</v>
      </c>
      <c r="B91" s="67" t="s">
        <v>255</v>
      </c>
      <c r="C91" s="66"/>
      <c r="D91" s="66">
        <f t="shared" ref="D91:AL91" si="21">SUM(D87:D90)</f>
        <v>0</v>
      </c>
      <c r="E91" s="66">
        <f t="shared" si="21"/>
        <v>0</v>
      </c>
      <c r="F91" s="66">
        <f t="shared" si="21"/>
        <v>0</v>
      </c>
      <c r="G91" s="66">
        <f t="shared" si="21"/>
        <v>0</v>
      </c>
      <c r="H91" s="61">
        <f t="shared" si="21"/>
        <v>0</v>
      </c>
      <c r="I91" s="66">
        <f t="shared" si="21"/>
        <v>0</v>
      </c>
      <c r="J91" s="66">
        <f t="shared" si="21"/>
        <v>0</v>
      </c>
      <c r="K91" s="66">
        <f t="shared" si="21"/>
        <v>0</v>
      </c>
      <c r="L91" s="66">
        <f t="shared" si="21"/>
        <v>0</v>
      </c>
      <c r="M91" s="61">
        <f t="shared" si="21"/>
        <v>0</v>
      </c>
      <c r="N91" s="66">
        <f t="shared" si="21"/>
        <v>0</v>
      </c>
      <c r="O91" s="66">
        <f t="shared" si="21"/>
        <v>0</v>
      </c>
      <c r="P91" s="66">
        <f t="shared" si="21"/>
        <v>0</v>
      </c>
      <c r="Q91" s="66">
        <f t="shared" si="21"/>
        <v>0</v>
      </c>
      <c r="R91" s="61">
        <f t="shared" si="21"/>
        <v>0</v>
      </c>
      <c r="S91" s="66">
        <f t="shared" si="21"/>
        <v>0</v>
      </c>
      <c r="T91" s="66">
        <f t="shared" si="21"/>
        <v>0</v>
      </c>
      <c r="U91" s="66">
        <f t="shared" si="21"/>
        <v>0</v>
      </c>
      <c r="V91" s="66">
        <f t="shared" si="21"/>
        <v>0</v>
      </c>
      <c r="W91" s="61">
        <f t="shared" si="21"/>
        <v>0</v>
      </c>
      <c r="X91" s="66">
        <f t="shared" si="21"/>
        <v>0</v>
      </c>
      <c r="Y91" s="66">
        <f t="shared" si="21"/>
        <v>0</v>
      </c>
      <c r="Z91" s="66">
        <f t="shared" si="21"/>
        <v>0</v>
      </c>
      <c r="AA91" s="66">
        <f t="shared" si="21"/>
        <v>0</v>
      </c>
      <c r="AB91" s="61">
        <f t="shared" si="21"/>
        <v>0</v>
      </c>
      <c r="AC91" s="66">
        <f t="shared" si="21"/>
        <v>0</v>
      </c>
      <c r="AD91" s="66">
        <f t="shared" si="21"/>
        <v>0</v>
      </c>
      <c r="AE91" s="66">
        <f t="shared" si="21"/>
        <v>0</v>
      </c>
      <c r="AF91" s="66">
        <f t="shared" si="21"/>
        <v>0</v>
      </c>
      <c r="AG91" s="61">
        <f t="shared" si="21"/>
        <v>0</v>
      </c>
      <c r="AH91" s="66">
        <f t="shared" si="21"/>
        <v>0</v>
      </c>
      <c r="AI91" s="66">
        <f t="shared" si="21"/>
        <v>0</v>
      </c>
      <c r="AJ91" s="66">
        <f t="shared" si="21"/>
        <v>0</v>
      </c>
      <c r="AK91" s="66">
        <f t="shared" si="21"/>
        <v>0</v>
      </c>
      <c r="AL91" s="61">
        <f t="shared" si="21"/>
        <v>0</v>
      </c>
      <c r="AM91" s="68">
        <f t="shared" si="16"/>
        <v>0</v>
      </c>
    </row>
    <row r="92" spans="1:39" hidden="1" x14ac:dyDescent="0.35">
      <c r="A92" s="59" t="s">
        <v>269</v>
      </c>
      <c r="B92" s="54">
        <v>12</v>
      </c>
      <c r="C92" s="60" t="s">
        <v>225</v>
      </c>
      <c r="D92" s="60">
        <v>19</v>
      </c>
      <c r="E92" s="60"/>
      <c r="F92" s="60"/>
      <c r="G92" s="60"/>
      <c r="H92" s="61">
        <f>SUM(D92:G92)</f>
        <v>19</v>
      </c>
      <c r="I92" s="60"/>
      <c r="J92" s="60"/>
      <c r="K92" s="60"/>
      <c r="L92" s="60"/>
      <c r="M92" s="61">
        <f>SUM(I92:L92)</f>
        <v>0</v>
      </c>
      <c r="N92" s="60"/>
      <c r="O92" s="60"/>
      <c r="P92" s="60"/>
      <c r="Q92" s="60"/>
      <c r="R92" s="61">
        <f>SUM(N92:Q92)</f>
        <v>0</v>
      </c>
      <c r="S92" s="60"/>
      <c r="T92" s="60"/>
      <c r="U92" s="60"/>
      <c r="V92" s="60"/>
      <c r="W92" s="61">
        <f>SUM(S92:V92)</f>
        <v>0</v>
      </c>
      <c r="X92" s="60"/>
      <c r="Y92" s="60"/>
      <c r="Z92" s="60"/>
      <c r="AA92" s="60"/>
      <c r="AB92" s="61">
        <f>SUM(X92:AA92)</f>
        <v>0</v>
      </c>
      <c r="AC92" s="60"/>
      <c r="AD92" s="60"/>
      <c r="AE92" s="60"/>
      <c r="AF92" s="60"/>
      <c r="AG92" s="61">
        <f>SUM(AC92:AF92)</f>
        <v>0</v>
      </c>
      <c r="AH92" s="60"/>
      <c r="AI92" s="60"/>
      <c r="AJ92" s="60"/>
      <c r="AK92" s="60"/>
      <c r="AL92" s="61">
        <f>SUM(AH92:AK92)</f>
        <v>0</v>
      </c>
      <c r="AM92" s="68">
        <f t="shared" si="16"/>
        <v>19</v>
      </c>
    </row>
    <row r="93" spans="1:39" hidden="1" x14ac:dyDescent="0.35">
      <c r="A93" s="111" t="s">
        <v>270</v>
      </c>
      <c r="B93" s="54"/>
      <c r="C93" s="63" t="s">
        <v>227</v>
      </c>
      <c r="D93" s="63">
        <v>11</v>
      </c>
      <c r="E93" s="63">
        <v>2</v>
      </c>
      <c r="F93" s="63"/>
      <c r="G93" s="63"/>
      <c r="H93" s="61">
        <f>SUM(D93:G93)</f>
        <v>13</v>
      </c>
      <c r="I93" s="63"/>
      <c r="J93" s="63"/>
      <c r="K93" s="63"/>
      <c r="L93" s="63"/>
      <c r="M93" s="61">
        <f>SUM(I93:L93)</f>
        <v>0</v>
      </c>
      <c r="N93" s="63"/>
      <c r="O93" s="63"/>
      <c r="P93" s="63"/>
      <c r="Q93" s="63"/>
      <c r="R93" s="61">
        <f>SUM(N93:Q93)</f>
        <v>0</v>
      </c>
      <c r="S93" s="63"/>
      <c r="T93" s="63"/>
      <c r="U93" s="63"/>
      <c r="V93" s="63"/>
      <c r="W93" s="61">
        <f>SUM(S93:V93)</f>
        <v>0</v>
      </c>
      <c r="X93" s="63"/>
      <c r="Y93" s="63"/>
      <c r="Z93" s="63"/>
      <c r="AA93" s="63"/>
      <c r="AB93" s="61">
        <f>SUM(X93:AA93)</f>
        <v>0</v>
      </c>
      <c r="AC93" s="63"/>
      <c r="AD93" s="63"/>
      <c r="AE93" s="63"/>
      <c r="AF93" s="63"/>
      <c r="AG93" s="61">
        <f>SUM(AC93:AF93)</f>
        <v>0</v>
      </c>
      <c r="AH93" s="63"/>
      <c r="AI93" s="63"/>
      <c r="AJ93" s="63"/>
      <c r="AK93" s="63"/>
      <c r="AL93" s="61">
        <f>SUM(AH93:AK93)</f>
        <v>0</v>
      </c>
      <c r="AM93" s="68">
        <f t="shared" si="16"/>
        <v>13</v>
      </c>
    </row>
    <row r="94" spans="1:39" hidden="1" x14ac:dyDescent="0.35">
      <c r="A94" s="111"/>
      <c r="B94" s="54"/>
      <c r="C94" s="60" t="s">
        <v>228</v>
      </c>
      <c r="D94" s="60"/>
      <c r="E94" s="60"/>
      <c r="F94" s="60"/>
      <c r="G94" s="60"/>
      <c r="H94" s="61">
        <f>SUM(D94:G94)</f>
        <v>0</v>
      </c>
      <c r="I94" s="60"/>
      <c r="J94" s="60"/>
      <c r="K94" s="60"/>
      <c r="L94" s="60"/>
      <c r="M94" s="61">
        <f>SUM(I94:L94)</f>
        <v>0</v>
      </c>
      <c r="N94" s="60"/>
      <c r="O94" s="60"/>
      <c r="P94" s="60"/>
      <c r="Q94" s="60"/>
      <c r="R94" s="61">
        <f>SUM(N94:Q94)</f>
        <v>0</v>
      </c>
      <c r="S94" s="60"/>
      <c r="T94" s="60"/>
      <c r="U94" s="60"/>
      <c r="V94" s="60"/>
      <c r="W94" s="61">
        <f>SUM(S94:V94)</f>
        <v>0</v>
      </c>
      <c r="X94" s="60"/>
      <c r="Y94" s="60"/>
      <c r="Z94" s="60"/>
      <c r="AA94" s="60"/>
      <c r="AB94" s="61">
        <f>SUM(X94:AA94)</f>
        <v>0</v>
      </c>
      <c r="AC94" s="60"/>
      <c r="AD94" s="60"/>
      <c r="AE94" s="60"/>
      <c r="AF94" s="60"/>
      <c r="AG94" s="61">
        <f>SUM(AC94:AF94)</f>
        <v>0</v>
      </c>
      <c r="AH94" s="60">
        <v>18</v>
      </c>
      <c r="AI94" s="60"/>
      <c r="AJ94" s="60"/>
      <c r="AK94" s="60"/>
      <c r="AL94" s="61">
        <f>SUM(AH94:AK94)</f>
        <v>18</v>
      </c>
      <c r="AM94" s="68">
        <f t="shared" si="16"/>
        <v>18</v>
      </c>
    </row>
    <row r="95" spans="1:39" hidden="1" x14ac:dyDescent="0.35">
      <c r="A95" s="111"/>
      <c r="B95" s="54"/>
      <c r="C95" s="63" t="s">
        <v>235</v>
      </c>
      <c r="D95" s="63"/>
      <c r="E95" s="63"/>
      <c r="F95" s="63"/>
      <c r="G95" s="63"/>
      <c r="H95" s="61">
        <f>SUM(D95:G95)</f>
        <v>0</v>
      </c>
      <c r="I95" s="63"/>
      <c r="J95" s="63"/>
      <c r="K95" s="63"/>
      <c r="L95" s="63"/>
      <c r="M95" s="61">
        <f>SUM(I95:L95)</f>
        <v>0</v>
      </c>
      <c r="N95" s="63"/>
      <c r="O95" s="63"/>
      <c r="P95" s="63"/>
      <c r="Q95" s="63"/>
      <c r="R95" s="61">
        <f>SUM(N95:Q95)</f>
        <v>0</v>
      </c>
      <c r="S95" s="63"/>
      <c r="T95" s="63"/>
      <c r="U95" s="63"/>
      <c r="V95" s="63"/>
      <c r="W95" s="61">
        <f>SUM(S95:V95)</f>
        <v>0</v>
      </c>
      <c r="X95" s="63"/>
      <c r="Y95" s="63"/>
      <c r="Z95" s="63"/>
      <c r="AA95" s="63"/>
      <c r="AB95" s="61">
        <f>SUM(X95:AA95)</f>
        <v>0</v>
      </c>
      <c r="AC95" s="63"/>
      <c r="AD95" s="63"/>
      <c r="AE95" s="63"/>
      <c r="AF95" s="63"/>
      <c r="AG95" s="61">
        <f>SUM(AC95:AF95)</f>
        <v>0</v>
      </c>
      <c r="AH95" s="63"/>
      <c r="AI95" s="63"/>
      <c r="AJ95" s="63"/>
      <c r="AK95" s="63"/>
      <c r="AL95" s="61">
        <f>SUM(AH95:AK95)</f>
        <v>0</v>
      </c>
      <c r="AM95" s="68">
        <f t="shared" si="16"/>
        <v>0</v>
      </c>
    </row>
    <row r="96" spans="1:39" x14ac:dyDescent="0.35">
      <c r="A96" s="66" t="s">
        <v>269</v>
      </c>
      <c r="B96" s="67">
        <v>12</v>
      </c>
      <c r="C96" s="66"/>
      <c r="D96" s="66">
        <f t="shared" ref="D96:AL96" si="22">SUM(D92:D95)</f>
        <v>30</v>
      </c>
      <c r="E96" s="66">
        <f t="shared" si="22"/>
        <v>2</v>
      </c>
      <c r="F96" s="66">
        <f t="shared" si="22"/>
        <v>0</v>
      </c>
      <c r="G96" s="66">
        <f t="shared" si="22"/>
        <v>0</v>
      </c>
      <c r="H96" s="61">
        <f t="shared" si="22"/>
        <v>32</v>
      </c>
      <c r="I96" s="66">
        <f t="shared" si="22"/>
        <v>0</v>
      </c>
      <c r="J96" s="66">
        <f t="shared" si="22"/>
        <v>0</v>
      </c>
      <c r="K96" s="66">
        <f t="shared" si="22"/>
        <v>0</v>
      </c>
      <c r="L96" s="66">
        <f t="shared" si="22"/>
        <v>0</v>
      </c>
      <c r="M96" s="61">
        <f t="shared" si="22"/>
        <v>0</v>
      </c>
      <c r="N96" s="66">
        <f t="shared" si="22"/>
        <v>0</v>
      </c>
      <c r="O96" s="66">
        <f t="shared" si="22"/>
        <v>0</v>
      </c>
      <c r="P96" s="66">
        <f t="shared" si="22"/>
        <v>0</v>
      </c>
      <c r="Q96" s="66">
        <f t="shared" si="22"/>
        <v>0</v>
      </c>
      <c r="R96" s="61">
        <f t="shared" si="22"/>
        <v>0</v>
      </c>
      <c r="S96" s="66">
        <f t="shared" si="22"/>
        <v>0</v>
      </c>
      <c r="T96" s="66">
        <f t="shared" si="22"/>
        <v>0</v>
      </c>
      <c r="U96" s="66">
        <f t="shared" si="22"/>
        <v>0</v>
      </c>
      <c r="V96" s="66">
        <f t="shared" si="22"/>
        <v>0</v>
      </c>
      <c r="W96" s="61">
        <f t="shared" si="22"/>
        <v>0</v>
      </c>
      <c r="X96" s="66">
        <f t="shared" si="22"/>
        <v>0</v>
      </c>
      <c r="Y96" s="66">
        <f t="shared" si="22"/>
        <v>0</v>
      </c>
      <c r="Z96" s="66">
        <f t="shared" si="22"/>
        <v>0</v>
      </c>
      <c r="AA96" s="66">
        <f t="shared" si="22"/>
        <v>0</v>
      </c>
      <c r="AB96" s="61">
        <f t="shared" si="22"/>
        <v>0</v>
      </c>
      <c r="AC96" s="66">
        <f t="shared" si="22"/>
        <v>0</v>
      </c>
      <c r="AD96" s="66">
        <f t="shared" si="22"/>
        <v>0</v>
      </c>
      <c r="AE96" s="66">
        <f t="shared" si="22"/>
        <v>0</v>
      </c>
      <c r="AF96" s="66">
        <f t="shared" si="22"/>
        <v>0</v>
      </c>
      <c r="AG96" s="61">
        <f t="shared" si="22"/>
        <v>0</v>
      </c>
      <c r="AH96" s="66">
        <f t="shared" si="22"/>
        <v>18</v>
      </c>
      <c r="AI96" s="66">
        <f t="shared" si="22"/>
        <v>0</v>
      </c>
      <c r="AJ96" s="66">
        <f t="shared" si="22"/>
        <v>0</v>
      </c>
      <c r="AK96" s="66">
        <f t="shared" si="22"/>
        <v>0</v>
      </c>
      <c r="AL96" s="61">
        <f t="shared" si="22"/>
        <v>18</v>
      </c>
      <c r="AM96" s="68">
        <f t="shared" si="16"/>
        <v>50</v>
      </c>
    </row>
    <row r="97" spans="1:39" hidden="1" x14ac:dyDescent="0.35">
      <c r="A97" s="59" t="s">
        <v>271</v>
      </c>
      <c r="B97" s="54" t="s">
        <v>272</v>
      </c>
      <c r="C97" s="60" t="s">
        <v>225</v>
      </c>
      <c r="D97" s="60">
        <v>11</v>
      </c>
      <c r="E97" s="60"/>
      <c r="F97" s="60"/>
      <c r="G97" s="60"/>
      <c r="H97" s="61">
        <f>SUM(D97:G97)</f>
        <v>11</v>
      </c>
      <c r="I97" s="60"/>
      <c r="J97" s="60"/>
      <c r="K97" s="60"/>
      <c r="L97" s="60"/>
      <c r="M97" s="61">
        <f>SUM(I97:L97)</f>
        <v>0</v>
      </c>
      <c r="N97" s="60">
        <v>1</v>
      </c>
      <c r="O97" s="60"/>
      <c r="P97" s="60"/>
      <c r="Q97" s="60"/>
      <c r="R97" s="61">
        <f>SUM(N97:Q97)</f>
        <v>1</v>
      </c>
      <c r="S97" s="60"/>
      <c r="T97" s="60"/>
      <c r="U97" s="60"/>
      <c r="V97" s="60"/>
      <c r="W97" s="61">
        <f>SUM(S97:V97)</f>
        <v>0</v>
      </c>
      <c r="X97" s="60"/>
      <c r="Y97" s="60"/>
      <c r="Z97" s="60"/>
      <c r="AA97" s="60"/>
      <c r="AB97" s="61">
        <f>SUM(X97:AA97)</f>
        <v>0</v>
      </c>
      <c r="AC97" s="60"/>
      <c r="AD97" s="60"/>
      <c r="AE97" s="60"/>
      <c r="AF97" s="60"/>
      <c r="AG97" s="61">
        <f>SUM(AC97:AF97)</f>
        <v>0</v>
      </c>
      <c r="AH97" s="60"/>
      <c r="AI97" s="60"/>
      <c r="AJ97" s="60"/>
      <c r="AK97" s="60"/>
      <c r="AL97" s="61">
        <f>SUM(AH97:AK97)</f>
        <v>0</v>
      </c>
      <c r="AM97" s="68">
        <f t="shared" si="16"/>
        <v>12</v>
      </c>
    </row>
    <row r="98" spans="1:39" hidden="1" x14ac:dyDescent="0.35">
      <c r="A98" s="111" t="s">
        <v>273</v>
      </c>
      <c r="B98" s="54"/>
      <c r="C98" s="63" t="s">
        <v>227</v>
      </c>
      <c r="D98" s="63">
        <v>2</v>
      </c>
      <c r="E98" s="63">
        <v>1</v>
      </c>
      <c r="F98" s="63"/>
      <c r="G98" s="63"/>
      <c r="H98" s="61">
        <f>SUM(D98:G98)</f>
        <v>3</v>
      </c>
      <c r="I98" s="63"/>
      <c r="J98" s="63"/>
      <c r="K98" s="63"/>
      <c r="L98" s="63"/>
      <c r="M98" s="61">
        <f>SUM(I98:L98)</f>
        <v>0</v>
      </c>
      <c r="N98" s="63">
        <v>1</v>
      </c>
      <c r="O98" s="63"/>
      <c r="P98" s="63"/>
      <c r="Q98" s="63"/>
      <c r="R98" s="61">
        <f>SUM(N98:Q98)</f>
        <v>1</v>
      </c>
      <c r="S98" s="63"/>
      <c r="T98" s="63"/>
      <c r="U98" s="63"/>
      <c r="V98" s="63"/>
      <c r="W98" s="61">
        <f>SUM(S98:V98)</f>
        <v>0</v>
      </c>
      <c r="X98" s="63"/>
      <c r="Y98" s="63"/>
      <c r="Z98" s="63"/>
      <c r="AA98" s="63"/>
      <c r="AB98" s="61">
        <f>SUM(X98:AA98)</f>
        <v>0</v>
      </c>
      <c r="AC98" s="63"/>
      <c r="AD98" s="63"/>
      <c r="AE98" s="63"/>
      <c r="AF98" s="63"/>
      <c r="AG98" s="61">
        <f>SUM(AC98:AF98)</f>
        <v>0</v>
      </c>
      <c r="AH98" s="63"/>
      <c r="AI98" s="63"/>
      <c r="AJ98" s="63"/>
      <c r="AK98" s="63"/>
      <c r="AL98" s="61">
        <f>SUM(AH98:AK98)</f>
        <v>0</v>
      </c>
      <c r="AM98" s="68">
        <f t="shared" si="16"/>
        <v>4</v>
      </c>
    </row>
    <row r="99" spans="1:39" hidden="1" x14ac:dyDescent="0.35">
      <c r="A99" s="111"/>
      <c r="B99" s="54"/>
      <c r="C99" s="60" t="s">
        <v>228</v>
      </c>
      <c r="D99" s="60">
        <v>3</v>
      </c>
      <c r="E99" s="60">
        <v>2</v>
      </c>
      <c r="F99" s="60"/>
      <c r="G99" s="60"/>
      <c r="H99" s="61">
        <f>SUM(D99:G99)</f>
        <v>5</v>
      </c>
      <c r="I99" s="60"/>
      <c r="J99" s="60"/>
      <c r="K99" s="60"/>
      <c r="L99" s="60"/>
      <c r="M99" s="61">
        <f>SUM(I99:L99)</f>
        <v>0</v>
      </c>
      <c r="N99" s="60"/>
      <c r="O99" s="60"/>
      <c r="P99" s="60"/>
      <c r="Q99" s="60"/>
      <c r="R99" s="61">
        <f>SUM(N99:Q99)</f>
        <v>0</v>
      </c>
      <c r="S99" s="60"/>
      <c r="T99" s="60"/>
      <c r="U99" s="60"/>
      <c r="V99" s="60"/>
      <c r="W99" s="61">
        <f>SUM(S99:V99)</f>
        <v>0</v>
      </c>
      <c r="X99" s="60"/>
      <c r="Y99" s="60"/>
      <c r="Z99" s="60"/>
      <c r="AA99" s="60"/>
      <c r="AB99" s="61">
        <f>SUM(X99:AA99)</f>
        <v>0</v>
      </c>
      <c r="AC99" s="60"/>
      <c r="AD99" s="60"/>
      <c r="AE99" s="60"/>
      <c r="AF99" s="60"/>
      <c r="AG99" s="61">
        <f>SUM(AC99:AF99)</f>
        <v>0</v>
      </c>
      <c r="AH99" s="60"/>
      <c r="AI99" s="60"/>
      <c r="AJ99" s="60"/>
      <c r="AK99" s="60"/>
      <c r="AL99" s="61">
        <f>SUM(AH99:AK99)</f>
        <v>0</v>
      </c>
      <c r="AM99" s="68">
        <f t="shared" si="16"/>
        <v>5</v>
      </c>
    </row>
    <row r="100" spans="1:39" hidden="1" x14ac:dyDescent="0.35">
      <c r="A100" s="111"/>
      <c r="B100" s="54"/>
      <c r="C100" s="63" t="s">
        <v>235</v>
      </c>
      <c r="D100" s="63">
        <v>2</v>
      </c>
      <c r="E100" s="63">
        <v>1</v>
      </c>
      <c r="F100" s="63"/>
      <c r="G100" s="63"/>
      <c r="H100" s="61">
        <f>SUM(D100:G100)</f>
        <v>3</v>
      </c>
      <c r="I100" s="63"/>
      <c r="J100" s="63"/>
      <c r="K100" s="63"/>
      <c r="L100" s="63"/>
      <c r="M100" s="61">
        <f>SUM(I100:L100)</f>
        <v>0</v>
      </c>
      <c r="N100" s="63"/>
      <c r="O100" s="63"/>
      <c r="P100" s="63"/>
      <c r="Q100" s="63"/>
      <c r="R100" s="61">
        <f>SUM(N100:Q100)</f>
        <v>0</v>
      </c>
      <c r="S100" s="63"/>
      <c r="T100" s="63"/>
      <c r="U100" s="63"/>
      <c r="V100" s="63"/>
      <c r="W100" s="61">
        <f>SUM(S100:V100)</f>
        <v>0</v>
      </c>
      <c r="X100" s="63"/>
      <c r="Y100" s="63"/>
      <c r="Z100" s="63"/>
      <c r="AA100" s="63"/>
      <c r="AB100" s="61">
        <f>SUM(X100:AA100)</f>
        <v>0</v>
      </c>
      <c r="AC100" s="63"/>
      <c r="AD100" s="63"/>
      <c r="AE100" s="63"/>
      <c r="AF100" s="63"/>
      <c r="AG100" s="61">
        <f>SUM(AC100:AF100)</f>
        <v>0</v>
      </c>
      <c r="AH100" s="63"/>
      <c r="AI100" s="63"/>
      <c r="AJ100" s="63"/>
      <c r="AK100" s="63"/>
      <c r="AL100" s="61">
        <f>SUM(AH100:AK100)</f>
        <v>0</v>
      </c>
      <c r="AM100" s="68">
        <f t="shared" si="16"/>
        <v>3</v>
      </c>
    </row>
    <row r="101" spans="1:39" hidden="1" x14ac:dyDescent="0.35">
      <c r="A101" s="66" t="s">
        <v>274</v>
      </c>
      <c r="B101" s="67"/>
      <c r="C101" s="66"/>
      <c r="D101" s="66">
        <f t="shared" ref="D101:AL101" si="23">SUM(D97:D100)</f>
        <v>18</v>
      </c>
      <c r="E101" s="66">
        <f t="shared" si="23"/>
        <v>4</v>
      </c>
      <c r="F101" s="66">
        <f t="shared" si="23"/>
        <v>0</v>
      </c>
      <c r="G101" s="66">
        <f t="shared" si="23"/>
        <v>0</v>
      </c>
      <c r="H101" s="61">
        <f t="shared" si="23"/>
        <v>22</v>
      </c>
      <c r="I101" s="66">
        <f t="shared" si="23"/>
        <v>0</v>
      </c>
      <c r="J101" s="66">
        <f t="shared" si="23"/>
        <v>0</v>
      </c>
      <c r="K101" s="66">
        <f t="shared" si="23"/>
        <v>0</v>
      </c>
      <c r="L101" s="66">
        <f t="shared" si="23"/>
        <v>0</v>
      </c>
      <c r="M101" s="61">
        <f t="shared" si="23"/>
        <v>0</v>
      </c>
      <c r="N101" s="66">
        <f t="shared" si="23"/>
        <v>2</v>
      </c>
      <c r="O101" s="66">
        <f t="shared" si="23"/>
        <v>0</v>
      </c>
      <c r="P101" s="66">
        <f t="shared" si="23"/>
        <v>0</v>
      </c>
      <c r="Q101" s="66">
        <f t="shared" si="23"/>
        <v>0</v>
      </c>
      <c r="R101" s="61">
        <f t="shared" si="23"/>
        <v>2</v>
      </c>
      <c r="S101" s="66">
        <f t="shared" si="23"/>
        <v>0</v>
      </c>
      <c r="T101" s="66">
        <f t="shared" si="23"/>
        <v>0</v>
      </c>
      <c r="U101" s="66">
        <f t="shared" si="23"/>
        <v>0</v>
      </c>
      <c r="V101" s="66">
        <f t="shared" si="23"/>
        <v>0</v>
      </c>
      <c r="W101" s="61">
        <f t="shared" si="23"/>
        <v>0</v>
      </c>
      <c r="X101" s="66">
        <f t="shared" si="23"/>
        <v>0</v>
      </c>
      <c r="Y101" s="66">
        <f t="shared" si="23"/>
        <v>0</v>
      </c>
      <c r="Z101" s="66">
        <f t="shared" si="23"/>
        <v>0</v>
      </c>
      <c r="AA101" s="66">
        <f t="shared" si="23"/>
        <v>0</v>
      </c>
      <c r="AB101" s="61">
        <f t="shared" si="23"/>
        <v>0</v>
      </c>
      <c r="AC101" s="66">
        <f t="shared" si="23"/>
        <v>0</v>
      </c>
      <c r="AD101" s="66">
        <f t="shared" si="23"/>
        <v>0</v>
      </c>
      <c r="AE101" s="66">
        <f t="shared" si="23"/>
        <v>0</v>
      </c>
      <c r="AF101" s="66">
        <f t="shared" si="23"/>
        <v>0</v>
      </c>
      <c r="AG101" s="61">
        <f t="shared" si="23"/>
        <v>0</v>
      </c>
      <c r="AH101" s="66">
        <f t="shared" si="23"/>
        <v>0</v>
      </c>
      <c r="AI101" s="66">
        <f t="shared" si="23"/>
        <v>0</v>
      </c>
      <c r="AJ101" s="66">
        <f t="shared" si="23"/>
        <v>0</v>
      </c>
      <c r="AK101" s="66">
        <f t="shared" si="23"/>
        <v>0</v>
      </c>
      <c r="AL101" s="61">
        <f t="shared" si="23"/>
        <v>0</v>
      </c>
      <c r="AM101" s="68">
        <f t="shared" si="16"/>
        <v>24</v>
      </c>
    </row>
    <row r="102" spans="1:39" hidden="1" x14ac:dyDescent="0.35">
      <c r="A102" s="111" t="s">
        <v>275</v>
      </c>
      <c r="B102" s="54"/>
      <c r="C102" s="60" t="s">
        <v>225</v>
      </c>
      <c r="D102" s="60"/>
      <c r="E102" s="60"/>
      <c r="F102" s="60"/>
      <c r="G102" s="60"/>
      <c r="H102" s="61">
        <f>SUM(D102:G102)</f>
        <v>0</v>
      </c>
      <c r="I102" s="60"/>
      <c r="J102" s="60"/>
      <c r="K102" s="60"/>
      <c r="L102" s="60"/>
      <c r="M102" s="61">
        <f>SUM(I102:L102)</f>
        <v>0</v>
      </c>
      <c r="N102" s="60"/>
      <c r="O102" s="60"/>
      <c r="P102" s="60"/>
      <c r="Q102" s="60"/>
      <c r="R102" s="61">
        <f>SUM(N102:Q102)</f>
        <v>0</v>
      </c>
      <c r="S102" s="60"/>
      <c r="T102" s="60"/>
      <c r="U102" s="60"/>
      <c r="V102" s="60"/>
      <c r="W102" s="61">
        <f>SUM(S102:V102)</f>
        <v>0</v>
      </c>
      <c r="X102" s="60"/>
      <c r="Y102" s="60"/>
      <c r="Z102" s="60"/>
      <c r="AA102" s="60"/>
      <c r="AB102" s="61">
        <f>SUM(X102:AA102)</f>
        <v>0</v>
      </c>
      <c r="AC102" s="60"/>
      <c r="AD102" s="60"/>
      <c r="AE102" s="60"/>
      <c r="AF102" s="60"/>
      <c r="AG102" s="61">
        <f>SUM(AC102:AF102)</f>
        <v>0</v>
      </c>
      <c r="AH102" s="60"/>
      <c r="AI102" s="60"/>
      <c r="AJ102" s="60"/>
      <c r="AK102" s="60"/>
      <c r="AL102" s="61">
        <f>SUM(AH102:AK102)</f>
        <v>0</v>
      </c>
      <c r="AM102" s="68">
        <f t="shared" si="16"/>
        <v>0</v>
      </c>
    </row>
    <row r="103" spans="1:39" hidden="1" x14ac:dyDescent="0.35">
      <c r="A103" s="111"/>
      <c r="B103" s="54"/>
      <c r="C103" s="63" t="s">
        <v>227</v>
      </c>
      <c r="D103" s="63"/>
      <c r="E103" s="63"/>
      <c r="F103" s="63"/>
      <c r="G103" s="63"/>
      <c r="H103" s="61">
        <f>SUM(D103:G103)</f>
        <v>0</v>
      </c>
      <c r="I103" s="63"/>
      <c r="J103" s="63"/>
      <c r="K103" s="63"/>
      <c r="L103" s="63"/>
      <c r="M103" s="61">
        <f>SUM(I103:L103)</f>
        <v>0</v>
      </c>
      <c r="N103" s="63"/>
      <c r="O103" s="63"/>
      <c r="P103" s="63"/>
      <c r="Q103" s="63"/>
      <c r="R103" s="61">
        <f>SUM(N103:Q103)</f>
        <v>0</v>
      </c>
      <c r="S103" s="63"/>
      <c r="T103" s="63"/>
      <c r="U103" s="63"/>
      <c r="V103" s="63"/>
      <c r="W103" s="61">
        <f>SUM(S103:V103)</f>
        <v>0</v>
      </c>
      <c r="X103" s="63"/>
      <c r="Y103" s="63"/>
      <c r="Z103" s="63"/>
      <c r="AA103" s="63"/>
      <c r="AB103" s="61">
        <f>SUM(X103:AA103)</f>
        <v>0</v>
      </c>
      <c r="AC103" s="63"/>
      <c r="AD103" s="63"/>
      <c r="AE103" s="63"/>
      <c r="AF103" s="63"/>
      <c r="AG103" s="61">
        <f>SUM(AC103:AF103)</f>
        <v>0</v>
      </c>
      <c r="AH103" s="63">
        <v>6</v>
      </c>
      <c r="AI103" s="63"/>
      <c r="AJ103" s="63"/>
      <c r="AK103" s="63"/>
      <c r="AL103" s="61">
        <f>SUM(AH103:AK103)</f>
        <v>6</v>
      </c>
      <c r="AM103" s="68">
        <f t="shared" si="16"/>
        <v>6</v>
      </c>
    </row>
    <row r="104" spans="1:39" hidden="1" x14ac:dyDescent="0.35">
      <c r="A104" s="111"/>
      <c r="B104" s="54"/>
      <c r="C104" s="60" t="s">
        <v>228</v>
      </c>
      <c r="D104" s="60"/>
      <c r="E104" s="60"/>
      <c r="F104" s="60"/>
      <c r="G104" s="60"/>
      <c r="H104" s="61">
        <f>SUM(D104:G104)</f>
        <v>0</v>
      </c>
      <c r="I104" s="60"/>
      <c r="J104" s="60"/>
      <c r="K104" s="60"/>
      <c r="L104" s="60"/>
      <c r="M104" s="61">
        <f>SUM(I104:L104)</f>
        <v>0</v>
      </c>
      <c r="N104" s="60"/>
      <c r="O104" s="60"/>
      <c r="P104" s="60"/>
      <c r="Q104" s="60"/>
      <c r="R104" s="61">
        <f>SUM(N104:Q104)</f>
        <v>0</v>
      </c>
      <c r="S104" s="60"/>
      <c r="T104" s="60"/>
      <c r="U104" s="60"/>
      <c r="V104" s="60"/>
      <c r="W104" s="61">
        <f>SUM(S104:V104)</f>
        <v>0</v>
      </c>
      <c r="X104" s="60"/>
      <c r="Y104" s="60"/>
      <c r="Z104" s="60"/>
      <c r="AA104" s="60"/>
      <c r="AB104" s="61">
        <f>SUM(X104:AA104)</f>
        <v>0</v>
      </c>
      <c r="AC104" s="60"/>
      <c r="AD104" s="60"/>
      <c r="AE104" s="60"/>
      <c r="AF104" s="60"/>
      <c r="AG104" s="61">
        <f>SUM(AC104:AF104)</f>
        <v>0</v>
      </c>
      <c r="AH104" s="60">
        <v>5</v>
      </c>
      <c r="AI104" s="60"/>
      <c r="AJ104" s="60"/>
      <c r="AK104" s="60"/>
      <c r="AL104" s="61">
        <f>SUM(AH104:AK104)</f>
        <v>5</v>
      </c>
      <c r="AM104" s="68">
        <f t="shared" si="16"/>
        <v>5</v>
      </c>
    </row>
    <row r="105" spans="1:39" hidden="1" x14ac:dyDescent="0.35">
      <c r="A105" s="111"/>
      <c r="B105" s="54"/>
      <c r="C105" s="63" t="s">
        <v>235</v>
      </c>
      <c r="D105" s="63"/>
      <c r="E105" s="63"/>
      <c r="F105" s="63"/>
      <c r="G105" s="63"/>
      <c r="H105" s="61">
        <f>SUM(D105:G105)</f>
        <v>0</v>
      </c>
      <c r="I105" s="63"/>
      <c r="J105" s="63"/>
      <c r="K105" s="63"/>
      <c r="L105" s="63"/>
      <c r="M105" s="61">
        <f>SUM(I105:L105)</f>
        <v>0</v>
      </c>
      <c r="N105" s="63"/>
      <c r="O105" s="63"/>
      <c r="P105" s="63"/>
      <c r="Q105" s="63"/>
      <c r="R105" s="61">
        <f>SUM(N105:Q105)</f>
        <v>0</v>
      </c>
      <c r="S105" s="63"/>
      <c r="T105" s="63"/>
      <c r="U105" s="63"/>
      <c r="V105" s="63"/>
      <c r="W105" s="61">
        <f>SUM(S105:V105)</f>
        <v>0</v>
      </c>
      <c r="X105" s="63"/>
      <c r="Y105" s="63"/>
      <c r="Z105" s="63"/>
      <c r="AA105" s="63"/>
      <c r="AB105" s="61">
        <f>SUM(X105:AA105)</f>
        <v>0</v>
      </c>
      <c r="AC105" s="63"/>
      <c r="AD105" s="63"/>
      <c r="AE105" s="63"/>
      <c r="AF105" s="63"/>
      <c r="AG105" s="61">
        <f>SUM(AC105:AF105)</f>
        <v>0</v>
      </c>
      <c r="AH105" s="63"/>
      <c r="AI105" s="63"/>
      <c r="AJ105" s="63"/>
      <c r="AK105" s="63"/>
      <c r="AL105" s="61">
        <f>SUM(AH105:AK105)</f>
        <v>0</v>
      </c>
      <c r="AM105" s="68">
        <f t="shared" si="16"/>
        <v>0</v>
      </c>
    </row>
    <row r="106" spans="1:39" hidden="1" x14ac:dyDescent="0.35">
      <c r="A106" s="66" t="s">
        <v>276</v>
      </c>
      <c r="B106" s="67"/>
      <c r="C106" s="66"/>
      <c r="D106" s="66">
        <f t="shared" ref="D106:AL106" si="24">SUM(D102:D105)</f>
        <v>0</v>
      </c>
      <c r="E106" s="66">
        <f t="shared" si="24"/>
        <v>0</v>
      </c>
      <c r="F106" s="66">
        <f t="shared" si="24"/>
        <v>0</v>
      </c>
      <c r="G106" s="66">
        <f t="shared" si="24"/>
        <v>0</v>
      </c>
      <c r="H106" s="61">
        <f t="shared" si="24"/>
        <v>0</v>
      </c>
      <c r="I106" s="66">
        <f t="shared" si="24"/>
        <v>0</v>
      </c>
      <c r="J106" s="66">
        <f t="shared" si="24"/>
        <v>0</v>
      </c>
      <c r="K106" s="66">
        <f t="shared" si="24"/>
        <v>0</v>
      </c>
      <c r="L106" s="66">
        <f t="shared" si="24"/>
        <v>0</v>
      </c>
      <c r="M106" s="61">
        <f t="shared" si="24"/>
        <v>0</v>
      </c>
      <c r="N106" s="66">
        <f t="shared" si="24"/>
        <v>0</v>
      </c>
      <c r="O106" s="66">
        <f t="shared" si="24"/>
        <v>0</v>
      </c>
      <c r="P106" s="66">
        <f t="shared" si="24"/>
        <v>0</v>
      </c>
      <c r="Q106" s="66">
        <f t="shared" si="24"/>
        <v>0</v>
      </c>
      <c r="R106" s="61">
        <f t="shared" si="24"/>
        <v>0</v>
      </c>
      <c r="S106" s="66">
        <f t="shared" si="24"/>
        <v>0</v>
      </c>
      <c r="T106" s="66">
        <f t="shared" si="24"/>
        <v>0</v>
      </c>
      <c r="U106" s="66">
        <f t="shared" si="24"/>
        <v>0</v>
      </c>
      <c r="V106" s="66">
        <f t="shared" si="24"/>
        <v>0</v>
      </c>
      <c r="W106" s="61">
        <f t="shared" si="24"/>
        <v>0</v>
      </c>
      <c r="X106" s="66">
        <f t="shared" si="24"/>
        <v>0</v>
      </c>
      <c r="Y106" s="66">
        <f t="shared" si="24"/>
        <v>0</v>
      </c>
      <c r="Z106" s="66">
        <f t="shared" si="24"/>
        <v>0</v>
      </c>
      <c r="AA106" s="66">
        <f t="shared" si="24"/>
        <v>0</v>
      </c>
      <c r="AB106" s="61">
        <f t="shared" si="24"/>
        <v>0</v>
      </c>
      <c r="AC106" s="66">
        <f t="shared" si="24"/>
        <v>0</v>
      </c>
      <c r="AD106" s="66">
        <f t="shared" si="24"/>
        <v>0</v>
      </c>
      <c r="AE106" s="66">
        <f t="shared" si="24"/>
        <v>0</v>
      </c>
      <c r="AF106" s="66">
        <f t="shared" si="24"/>
        <v>0</v>
      </c>
      <c r="AG106" s="61">
        <f t="shared" si="24"/>
        <v>0</v>
      </c>
      <c r="AH106" s="66">
        <f t="shared" si="24"/>
        <v>11</v>
      </c>
      <c r="AI106" s="66">
        <f t="shared" si="24"/>
        <v>0</v>
      </c>
      <c r="AJ106" s="66">
        <f t="shared" si="24"/>
        <v>0</v>
      </c>
      <c r="AK106" s="66">
        <f t="shared" si="24"/>
        <v>0</v>
      </c>
      <c r="AL106" s="61">
        <f t="shared" si="24"/>
        <v>11</v>
      </c>
      <c r="AM106" s="68">
        <f t="shared" si="16"/>
        <v>11</v>
      </c>
    </row>
    <row r="107" spans="1:39" x14ac:dyDescent="0.35">
      <c r="A107" s="66" t="s">
        <v>271</v>
      </c>
      <c r="B107" s="67" t="s">
        <v>272</v>
      </c>
      <c r="C107" s="66"/>
      <c r="D107" s="66">
        <f t="shared" ref="D107:AL107" si="25">SUM(D106,D101)</f>
        <v>18</v>
      </c>
      <c r="E107" s="66">
        <f t="shared" si="25"/>
        <v>4</v>
      </c>
      <c r="F107" s="66">
        <f t="shared" si="25"/>
        <v>0</v>
      </c>
      <c r="G107" s="66">
        <f t="shared" si="25"/>
        <v>0</v>
      </c>
      <c r="H107" s="61">
        <f t="shared" si="25"/>
        <v>22</v>
      </c>
      <c r="I107" s="66">
        <f t="shared" si="25"/>
        <v>0</v>
      </c>
      <c r="J107" s="66">
        <f t="shared" si="25"/>
        <v>0</v>
      </c>
      <c r="K107" s="66">
        <f t="shared" si="25"/>
        <v>0</v>
      </c>
      <c r="L107" s="66">
        <f t="shared" si="25"/>
        <v>0</v>
      </c>
      <c r="M107" s="61">
        <f t="shared" si="25"/>
        <v>0</v>
      </c>
      <c r="N107" s="66">
        <f t="shared" si="25"/>
        <v>2</v>
      </c>
      <c r="O107" s="66">
        <f t="shared" si="25"/>
        <v>0</v>
      </c>
      <c r="P107" s="66">
        <f t="shared" si="25"/>
        <v>0</v>
      </c>
      <c r="Q107" s="66">
        <f t="shared" si="25"/>
        <v>0</v>
      </c>
      <c r="R107" s="61">
        <f t="shared" si="25"/>
        <v>2</v>
      </c>
      <c r="S107" s="66">
        <f t="shared" si="25"/>
        <v>0</v>
      </c>
      <c r="T107" s="66">
        <f t="shared" si="25"/>
        <v>0</v>
      </c>
      <c r="U107" s="66">
        <f t="shared" si="25"/>
        <v>0</v>
      </c>
      <c r="V107" s="66">
        <f t="shared" si="25"/>
        <v>0</v>
      </c>
      <c r="W107" s="61">
        <f t="shared" si="25"/>
        <v>0</v>
      </c>
      <c r="X107" s="66">
        <f t="shared" si="25"/>
        <v>0</v>
      </c>
      <c r="Y107" s="66">
        <f t="shared" si="25"/>
        <v>0</v>
      </c>
      <c r="Z107" s="66">
        <f t="shared" si="25"/>
        <v>0</v>
      </c>
      <c r="AA107" s="66">
        <f t="shared" si="25"/>
        <v>0</v>
      </c>
      <c r="AB107" s="61">
        <f t="shared" si="25"/>
        <v>0</v>
      </c>
      <c r="AC107" s="66">
        <f t="shared" si="25"/>
        <v>0</v>
      </c>
      <c r="AD107" s="66">
        <f t="shared" si="25"/>
        <v>0</v>
      </c>
      <c r="AE107" s="66">
        <f t="shared" si="25"/>
        <v>0</v>
      </c>
      <c r="AF107" s="66">
        <f t="shared" si="25"/>
        <v>0</v>
      </c>
      <c r="AG107" s="61">
        <f t="shared" si="25"/>
        <v>0</v>
      </c>
      <c r="AH107" s="66">
        <f t="shared" si="25"/>
        <v>11</v>
      </c>
      <c r="AI107" s="66">
        <f t="shared" si="25"/>
        <v>0</v>
      </c>
      <c r="AJ107" s="66">
        <f t="shared" si="25"/>
        <v>0</v>
      </c>
      <c r="AK107" s="66">
        <f t="shared" si="25"/>
        <v>0</v>
      </c>
      <c r="AL107" s="61">
        <f t="shared" si="25"/>
        <v>11</v>
      </c>
      <c r="AM107" s="68">
        <f t="shared" si="16"/>
        <v>35</v>
      </c>
    </row>
    <row r="108" spans="1:39" hidden="1" x14ac:dyDescent="0.35">
      <c r="A108" s="75" t="s">
        <v>277</v>
      </c>
      <c r="B108" s="54" t="s">
        <v>272</v>
      </c>
      <c r="C108" s="60" t="s">
        <v>225</v>
      </c>
      <c r="D108" s="60">
        <v>4</v>
      </c>
      <c r="E108" s="60">
        <v>1</v>
      </c>
      <c r="F108" s="60"/>
      <c r="G108" s="60"/>
      <c r="H108" s="61">
        <f>SUM(D108:G108)</f>
        <v>5</v>
      </c>
      <c r="I108" s="60"/>
      <c r="J108" s="60"/>
      <c r="K108" s="60"/>
      <c r="L108" s="60"/>
      <c r="M108" s="61">
        <f>SUM(I108:L108)</f>
        <v>0</v>
      </c>
      <c r="N108" s="60"/>
      <c r="O108" s="60"/>
      <c r="P108" s="60"/>
      <c r="Q108" s="60"/>
      <c r="R108" s="61">
        <f>SUM(N108:Q108)</f>
        <v>0</v>
      </c>
      <c r="S108" s="60"/>
      <c r="T108" s="60"/>
      <c r="U108" s="60"/>
      <c r="V108" s="60"/>
      <c r="W108" s="61">
        <f>SUM(S108:V108)</f>
        <v>0</v>
      </c>
      <c r="X108" s="60"/>
      <c r="Y108" s="60"/>
      <c r="Z108" s="60"/>
      <c r="AA108" s="60"/>
      <c r="AB108" s="61">
        <f>SUM(X108:AA108)</f>
        <v>0</v>
      </c>
      <c r="AC108" s="60"/>
      <c r="AD108" s="60"/>
      <c r="AE108" s="60"/>
      <c r="AF108" s="60"/>
      <c r="AG108" s="61">
        <f>SUM(AC108:AF108)</f>
        <v>0</v>
      </c>
      <c r="AH108" s="60"/>
      <c r="AI108" s="60"/>
      <c r="AJ108" s="60"/>
      <c r="AK108" s="60"/>
      <c r="AL108" s="61">
        <f>SUM(AH108:AK108)</f>
        <v>0</v>
      </c>
      <c r="AM108" s="68">
        <f t="shared" si="16"/>
        <v>5</v>
      </c>
    </row>
    <row r="109" spans="1:39" hidden="1" x14ac:dyDescent="0.35">
      <c r="A109" s="111" t="s">
        <v>278</v>
      </c>
      <c r="B109" s="54"/>
      <c r="C109" s="63" t="s">
        <v>227</v>
      </c>
      <c r="D109" s="63">
        <v>1</v>
      </c>
      <c r="E109" s="63"/>
      <c r="F109" s="63"/>
      <c r="G109" s="63"/>
      <c r="H109" s="61">
        <f>SUM(D109:G109)</f>
        <v>1</v>
      </c>
      <c r="I109" s="63"/>
      <c r="J109" s="63"/>
      <c r="K109" s="63"/>
      <c r="L109" s="63"/>
      <c r="M109" s="61">
        <f>SUM(I109:L109)</f>
        <v>0</v>
      </c>
      <c r="N109" s="63">
        <v>1</v>
      </c>
      <c r="O109" s="63"/>
      <c r="P109" s="63"/>
      <c r="Q109" s="63"/>
      <c r="R109" s="61">
        <f>SUM(N109:Q109)</f>
        <v>1</v>
      </c>
      <c r="S109" s="63"/>
      <c r="T109" s="63"/>
      <c r="U109" s="63"/>
      <c r="V109" s="63"/>
      <c r="W109" s="61">
        <f>SUM(S109:V109)</f>
        <v>0</v>
      </c>
      <c r="X109" s="63"/>
      <c r="Y109" s="63"/>
      <c r="Z109" s="63"/>
      <c r="AA109" s="63"/>
      <c r="AB109" s="61">
        <f>SUM(X109:AA109)</f>
        <v>0</v>
      </c>
      <c r="AC109" s="63"/>
      <c r="AD109" s="63"/>
      <c r="AE109" s="63"/>
      <c r="AF109" s="63"/>
      <c r="AG109" s="61">
        <f>SUM(AC109:AF109)</f>
        <v>0</v>
      </c>
      <c r="AH109" s="63"/>
      <c r="AI109" s="63"/>
      <c r="AJ109" s="63"/>
      <c r="AK109" s="63"/>
      <c r="AL109" s="61">
        <f>SUM(AH109:AK109)</f>
        <v>0</v>
      </c>
      <c r="AM109" s="68">
        <f t="shared" si="16"/>
        <v>2</v>
      </c>
    </row>
    <row r="110" spans="1:39" hidden="1" x14ac:dyDescent="0.35">
      <c r="A110" s="111"/>
      <c r="B110" s="54"/>
      <c r="C110" s="60" t="s">
        <v>228</v>
      </c>
      <c r="D110" s="60">
        <v>3</v>
      </c>
      <c r="E110" s="60"/>
      <c r="F110" s="60"/>
      <c r="G110" s="60"/>
      <c r="H110" s="61">
        <f>SUM(D110:G110)</f>
        <v>3</v>
      </c>
      <c r="I110" s="60"/>
      <c r="J110" s="60"/>
      <c r="K110" s="60"/>
      <c r="L110" s="60"/>
      <c r="M110" s="61">
        <f>SUM(I110:L110)</f>
        <v>0</v>
      </c>
      <c r="N110" s="60"/>
      <c r="O110" s="60"/>
      <c r="P110" s="60"/>
      <c r="Q110" s="60"/>
      <c r="R110" s="61">
        <f>SUM(N110:Q110)</f>
        <v>0</v>
      </c>
      <c r="S110" s="60"/>
      <c r="T110" s="60"/>
      <c r="U110" s="60"/>
      <c r="V110" s="60"/>
      <c r="W110" s="61">
        <f>SUM(S110:V110)</f>
        <v>0</v>
      </c>
      <c r="X110" s="60"/>
      <c r="Y110" s="60"/>
      <c r="Z110" s="60"/>
      <c r="AA110" s="60"/>
      <c r="AB110" s="61">
        <f>SUM(X110:AA110)</f>
        <v>0</v>
      </c>
      <c r="AC110" s="60"/>
      <c r="AD110" s="60"/>
      <c r="AE110" s="60"/>
      <c r="AF110" s="60"/>
      <c r="AG110" s="61">
        <f>SUM(AC110:AF110)</f>
        <v>0</v>
      </c>
      <c r="AH110" s="60"/>
      <c r="AI110" s="60"/>
      <c r="AJ110" s="60"/>
      <c r="AK110" s="60"/>
      <c r="AL110" s="61">
        <f>SUM(AH110:AK110)</f>
        <v>0</v>
      </c>
      <c r="AM110" s="68">
        <f t="shared" si="16"/>
        <v>3</v>
      </c>
    </row>
    <row r="111" spans="1:39" hidden="1" x14ac:dyDescent="0.35">
      <c r="A111" s="111"/>
      <c r="B111" s="54"/>
      <c r="C111" s="63" t="s">
        <v>235</v>
      </c>
      <c r="D111" s="63">
        <v>5</v>
      </c>
      <c r="E111" s="63"/>
      <c r="F111" s="63"/>
      <c r="G111" s="63"/>
      <c r="H111" s="61">
        <f>SUM(D111:G111)</f>
        <v>5</v>
      </c>
      <c r="I111" s="63"/>
      <c r="J111" s="63"/>
      <c r="K111" s="63"/>
      <c r="L111" s="63"/>
      <c r="M111" s="61">
        <f>SUM(I111:L111)</f>
        <v>0</v>
      </c>
      <c r="N111" s="63"/>
      <c r="O111" s="63"/>
      <c r="P111" s="63"/>
      <c r="Q111" s="63"/>
      <c r="R111" s="61">
        <f>SUM(N111:Q111)</f>
        <v>0</v>
      </c>
      <c r="S111" s="63"/>
      <c r="T111" s="63"/>
      <c r="U111" s="63"/>
      <c r="V111" s="63"/>
      <c r="W111" s="61">
        <f>SUM(S111:V111)</f>
        <v>0</v>
      </c>
      <c r="X111" s="63"/>
      <c r="Y111" s="63"/>
      <c r="Z111" s="63"/>
      <c r="AA111" s="63"/>
      <c r="AB111" s="61">
        <f>SUM(X111:AA111)</f>
        <v>0</v>
      </c>
      <c r="AC111" s="63"/>
      <c r="AD111" s="63"/>
      <c r="AE111" s="63"/>
      <c r="AF111" s="63"/>
      <c r="AG111" s="61">
        <f>SUM(AC111:AF111)</f>
        <v>0</v>
      </c>
      <c r="AH111" s="63"/>
      <c r="AI111" s="63"/>
      <c r="AJ111" s="63"/>
      <c r="AK111" s="63"/>
      <c r="AL111" s="61">
        <f>SUM(AH111:AK111)</f>
        <v>0</v>
      </c>
      <c r="AM111" s="68">
        <f t="shared" si="16"/>
        <v>5</v>
      </c>
    </row>
    <row r="112" spans="1:39" x14ac:dyDescent="0.35">
      <c r="A112" s="66" t="s">
        <v>277</v>
      </c>
      <c r="B112" s="67" t="s">
        <v>272</v>
      </c>
      <c r="C112" s="66"/>
      <c r="D112" s="66">
        <f t="shared" ref="D112:AL112" si="26">SUM(D108:D111)</f>
        <v>13</v>
      </c>
      <c r="E112" s="66">
        <f t="shared" si="26"/>
        <v>1</v>
      </c>
      <c r="F112" s="66">
        <f t="shared" si="26"/>
        <v>0</v>
      </c>
      <c r="G112" s="66">
        <f t="shared" si="26"/>
        <v>0</v>
      </c>
      <c r="H112" s="61">
        <f t="shared" si="26"/>
        <v>14</v>
      </c>
      <c r="I112" s="66">
        <f t="shared" si="26"/>
        <v>0</v>
      </c>
      <c r="J112" s="66">
        <f t="shared" si="26"/>
        <v>0</v>
      </c>
      <c r="K112" s="66">
        <f t="shared" si="26"/>
        <v>0</v>
      </c>
      <c r="L112" s="66">
        <f t="shared" si="26"/>
        <v>0</v>
      </c>
      <c r="M112" s="61">
        <f t="shared" si="26"/>
        <v>0</v>
      </c>
      <c r="N112" s="66">
        <f t="shared" si="26"/>
        <v>1</v>
      </c>
      <c r="O112" s="66">
        <f t="shared" si="26"/>
        <v>0</v>
      </c>
      <c r="P112" s="66">
        <f t="shared" si="26"/>
        <v>0</v>
      </c>
      <c r="Q112" s="66">
        <f t="shared" si="26"/>
        <v>0</v>
      </c>
      <c r="R112" s="61">
        <f t="shared" si="26"/>
        <v>1</v>
      </c>
      <c r="S112" s="66">
        <f t="shared" si="26"/>
        <v>0</v>
      </c>
      <c r="T112" s="66">
        <f t="shared" si="26"/>
        <v>0</v>
      </c>
      <c r="U112" s="66">
        <f t="shared" si="26"/>
        <v>0</v>
      </c>
      <c r="V112" s="66">
        <f t="shared" si="26"/>
        <v>0</v>
      </c>
      <c r="W112" s="61">
        <f t="shared" si="26"/>
        <v>0</v>
      </c>
      <c r="X112" s="66">
        <f t="shared" si="26"/>
        <v>0</v>
      </c>
      <c r="Y112" s="66">
        <f t="shared" si="26"/>
        <v>0</v>
      </c>
      <c r="Z112" s="66">
        <f t="shared" si="26"/>
        <v>0</v>
      </c>
      <c r="AA112" s="66">
        <f t="shared" si="26"/>
        <v>0</v>
      </c>
      <c r="AB112" s="61">
        <f t="shared" si="26"/>
        <v>0</v>
      </c>
      <c r="AC112" s="66">
        <f t="shared" si="26"/>
        <v>0</v>
      </c>
      <c r="AD112" s="66">
        <f t="shared" si="26"/>
        <v>0</v>
      </c>
      <c r="AE112" s="66">
        <f t="shared" si="26"/>
        <v>0</v>
      </c>
      <c r="AF112" s="66">
        <f t="shared" si="26"/>
        <v>0</v>
      </c>
      <c r="AG112" s="61">
        <f t="shared" si="26"/>
        <v>0</v>
      </c>
      <c r="AH112" s="66">
        <f t="shared" si="26"/>
        <v>0</v>
      </c>
      <c r="AI112" s="66">
        <f t="shared" si="26"/>
        <v>0</v>
      </c>
      <c r="AJ112" s="66">
        <f t="shared" si="26"/>
        <v>0</v>
      </c>
      <c r="AK112" s="66">
        <f t="shared" si="26"/>
        <v>0</v>
      </c>
      <c r="AL112" s="61">
        <f t="shared" si="26"/>
        <v>0</v>
      </c>
      <c r="AM112" s="68">
        <f t="shared" si="16"/>
        <v>15</v>
      </c>
    </row>
    <row r="113" spans="1:39" hidden="1" x14ac:dyDescent="0.35">
      <c r="A113" s="75" t="s">
        <v>279</v>
      </c>
      <c r="B113" s="54">
        <v>4</v>
      </c>
      <c r="C113" s="60" t="s">
        <v>225</v>
      </c>
      <c r="D113" s="60"/>
      <c r="E113" s="60"/>
      <c r="F113" s="60"/>
      <c r="G113" s="60"/>
      <c r="H113" s="61">
        <f>SUM(D113:G113)</f>
        <v>0</v>
      </c>
      <c r="I113" s="60"/>
      <c r="J113" s="60"/>
      <c r="K113" s="60"/>
      <c r="L113" s="60"/>
      <c r="M113" s="61">
        <f>SUM(I113:L113)</f>
        <v>0</v>
      </c>
      <c r="N113" s="60"/>
      <c r="O113" s="60"/>
      <c r="P113" s="60"/>
      <c r="Q113" s="60"/>
      <c r="R113" s="61">
        <f>SUM(N113:Q113)</f>
        <v>0</v>
      </c>
      <c r="S113" s="60"/>
      <c r="T113" s="60"/>
      <c r="U113" s="60"/>
      <c r="V113" s="60"/>
      <c r="W113" s="61">
        <f>SUM(S113:V113)</f>
        <v>0</v>
      </c>
      <c r="X113" s="60"/>
      <c r="Y113" s="60"/>
      <c r="Z113" s="60"/>
      <c r="AA113" s="60"/>
      <c r="AB113" s="61">
        <f>SUM(X113:AA113)</f>
        <v>0</v>
      </c>
      <c r="AC113" s="60"/>
      <c r="AD113" s="60"/>
      <c r="AE113" s="60"/>
      <c r="AF113" s="60"/>
      <c r="AG113" s="61">
        <f>SUM(AC113:AF113)</f>
        <v>0</v>
      </c>
      <c r="AH113" s="60"/>
      <c r="AI113" s="60"/>
      <c r="AJ113" s="60"/>
      <c r="AK113" s="60"/>
      <c r="AL113" s="61">
        <f>SUM(AH113:AK113)</f>
        <v>0</v>
      </c>
      <c r="AM113" s="68">
        <f t="shared" si="16"/>
        <v>0</v>
      </c>
    </row>
    <row r="114" spans="1:39" hidden="1" x14ac:dyDescent="0.35">
      <c r="A114" s="111" t="s">
        <v>280</v>
      </c>
      <c r="B114" s="54"/>
      <c r="C114" s="63" t="s">
        <v>227</v>
      </c>
      <c r="D114" s="63"/>
      <c r="E114" s="63"/>
      <c r="F114" s="63"/>
      <c r="G114" s="63"/>
      <c r="H114" s="61">
        <f>SUM(D114:G114)</f>
        <v>0</v>
      </c>
      <c r="I114" s="63"/>
      <c r="J114" s="63"/>
      <c r="K114" s="63"/>
      <c r="L114" s="63"/>
      <c r="M114" s="61">
        <f>SUM(I114:L114)</f>
        <v>0</v>
      </c>
      <c r="N114" s="63"/>
      <c r="O114" s="63"/>
      <c r="P114" s="63"/>
      <c r="Q114" s="63"/>
      <c r="R114" s="61">
        <f>SUM(N114:Q114)</f>
        <v>0</v>
      </c>
      <c r="S114" s="63"/>
      <c r="T114" s="63"/>
      <c r="U114" s="63"/>
      <c r="V114" s="63"/>
      <c r="W114" s="61">
        <f>SUM(S114:V114)</f>
        <v>0</v>
      </c>
      <c r="X114" s="63"/>
      <c r="Y114" s="63"/>
      <c r="Z114" s="63"/>
      <c r="AA114" s="63"/>
      <c r="AB114" s="61">
        <f>SUM(X114:AA114)</f>
        <v>0</v>
      </c>
      <c r="AC114" s="63"/>
      <c r="AD114" s="63"/>
      <c r="AE114" s="63"/>
      <c r="AF114" s="63"/>
      <c r="AG114" s="61">
        <f>SUM(AC114:AF114)</f>
        <v>0</v>
      </c>
      <c r="AH114" s="63"/>
      <c r="AI114" s="63"/>
      <c r="AJ114" s="63"/>
      <c r="AK114" s="63"/>
      <c r="AL114" s="61">
        <f>SUM(AH114:AK114)</f>
        <v>0</v>
      </c>
      <c r="AM114" s="68">
        <f t="shared" si="16"/>
        <v>0</v>
      </c>
    </row>
    <row r="115" spans="1:39" hidden="1" x14ac:dyDescent="0.35">
      <c r="A115" s="111"/>
      <c r="B115" s="54"/>
      <c r="C115" s="60" t="s">
        <v>228</v>
      </c>
      <c r="D115" s="60"/>
      <c r="E115" s="60"/>
      <c r="F115" s="60"/>
      <c r="G115" s="60"/>
      <c r="H115" s="61">
        <f>SUM(D115:G115)</f>
        <v>0</v>
      </c>
      <c r="I115" s="60"/>
      <c r="J115" s="60"/>
      <c r="K115" s="60"/>
      <c r="L115" s="60"/>
      <c r="M115" s="61">
        <f>SUM(I115:L115)</f>
        <v>0</v>
      </c>
      <c r="N115" s="60"/>
      <c r="O115" s="60"/>
      <c r="P115" s="60"/>
      <c r="Q115" s="60"/>
      <c r="R115" s="61">
        <f>SUM(N115:Q115)</f>
        <v>0</v>
      </c>
      <c r="S115" s="60"/>
      <c r="T115" s="60"/>
      <c r="U115" s="60"/>
      <c r="V115" s="60"/>
      <c r="W115" s="61">
        <f>SUM(S115:V115)</f>
        <v>0</v>
      </c>
      <c r="X115" s="60"/>
      <c r="Y115" s="60"/>
      <c r="Z115" s="60"/>
      <c r="AA115" s="60"/>
      <c r="AB115" s="61">
        <f>SUM(X115:AA115)</f>
        <v>0</v>
      </c>
      <c r="AC115" s="60"/>
      <c r="AD115" s="60"/>
      <c r="AE115" s="60"/>
      <c r="AF115" s="60"/>
      <c r="AG115" s="61">
        <f>SUM(AC115:AF115)</f>
        <v>0</v>
      </c>
      <c r="AH115" s="60"/>
      <c r="AI115" s="60"/>
      <c r="AJ115" s="60"/>
      <c r="AK115" s="60"/>
      <c r="AL115" s="61">
        <f>SUM(AH115:AK115)</f>
        <v>0</v>
      </c>
      <c r="AM115" s="68">
        <f t="shared" si="16"/>
        <v>0</v>
      </c>
    </row>
    <row r="116" spans="1:39" hidden="1" x14ac:dyDescent="0.35">
      <c r="A116" s="111"/>
      <c r="B116" s="54"/>
      <c r="C116" s="63" t="s">
        <v>235</v>
      </c>
      <c r="D116" s="63">
        <v>1</v>
      </c>
      <c r="E116" s="63"/>
      <c r="F116" s="63"/>
      <c r="G116" s="63"/>
      <c r="H116" s="61">
        <f>SUM(D116:G116)</f>
        <v>1</v>
      </c>
      <c r="I116" s="63"/>
      <c r="J116" s="63"/>
      <c r="K116" s="63"/>
      <c r="L116" s="63"/>
      <c r="M116" s="61">
        <f>SUM(I116:L116)</f>
        <v>0</v>
      </c>
      <c r="N116" s="63"/>
      <c r="O116" s="63"/>
      <c r="P116" s="63"/>
      <c r="Q116" s="63"/>
      <c r="R116" s="61">
        <f>SUM(N116:Q116)</f>
        <v>0</v>
      </c>
      <c r="S116" s="63"/>
      <c r="T116" s="63"/>
      <c r="U116" s="63"/>
      <c r="V116" s="63"/>
      <c r="W116" s="61">
        <f>SUM(S116:V116)</f>
        <v>0</v>
      </c>
      <c r="X116" s="63"/>
      <c r="Y116" s="63"/>
      <c r="Z116" s="63"/>
      <c r="AA116" s="63"/>
      <c r="AB116" s="61">
        <f>SUM(X116:AA116)</f>
        <v>0</v>
      </c>
      <c r="AC116" s="63"/>
      <c r="AD116" s="63"/>
      <c r="AE116" s="63"/>
      <c r="AF116" s="63"/>
      <c r="AG116" s="61">
        <f>SUM(AC116:AF116)</f>
        <v>0</v>
      </c>
      <c r="AH116" s="63"/>
      <c r="AI116" s="63"/>
      <c r="AJ116" s="63"/>
      <c r="AK116" s="63"/>
      <c r="AL116" s="61">
        <f>SUM(AH116:AK116)</f>
        <v>0</v>
      </c>
      <c r="AM116" s="68">
        <f t="shared" si="16"/>
        <v>1</v>
      </c>
    </row>
    <row r="117" spans="1:39" x14ac:dyDescent="0.35">
      <c r="A117" s="66" t="s">
        <v>279</v>
      </c>
      <c r="B117" s="67">
        <v>4</v>
      </c>
      <c r="C117" s="66"/>
      <c r="D117" s="66">
        <f t="shared" ref="D117:AL117" si="27">SUM(D113:D116)</f>
        <v>1</v>
      </c>
      <c r="E117" s="66">
        <f t="shared" si="27"/>
        <v>0</v>
      </c>
      <c r="F117" s="66">
        <f t="shared" si="27"/>
        <v>0</v>
      </c>
      <c r="G117" s="66">
        <f t="shared" si="27"/>
        <v>0</v>
      </c>
      <c r="H117" s="61">
        <f t="shared" si="27"/>
        <v>1</v>
      </c>
      <c r="I117" s="66">
        <f t="shared" si="27"/>
        <v>0</v>
      </c>
      <c r="J117" s="66">
        <f t="shared" si="27"/>
        <v>0</v>
      </c>
      <c r="K117" s="66">
        <f t="shared" si="27"/>
        <v>0</v>
      </c>
      <c r="L117" s="66">
        <f t="shared" si="27"/>
        <v>0</v>
      </c>
      <c r="M117" s="61">
        <f t="shared" si="27"/>
        <v>0</v>
      </c>
      <c r="N117" s="66">
        <f t="shared" si="27"/>
        <v>0</v>
      </c>
      <c r="O117" s="66">
        <f t="shared" si="27"/>
        <v>0</v>
      </c>
      <c r="P117" s="66">
        <f t="shared" si="27"/>
        <v>0</v>
      </c>
      <c r="Q117" s="66">
        <f t="shared" si="27"/>
        <v>0</v>
      </c>
      <c r="R117" s="61">
        <f t="shared" si="27"/>
        <v>0</v>
      </c>
      <c r="S117" s="66">
        <f t="shared" si="27"/>
        <v>0</v>
      </c>
      <c r="T117" s="66">
        <f t="shared" si="27"/>
        <v>0</v>
      </c>
      <c r="U117" s="66">
        <f t="shared" si="27"/>
        <v>0</v>
      </c>
      <c r="V117" s="66">
        <f t="shared" si="27"/>
        <v>0</v>
      </c>
      <c r="W117" s="61">
        <f t="shared" si="27"/>
        <v>0</v>
      </c>
      <c r="X117" s="66">
        <f t="shared" si="27"/>
        <v>0</v>
      </c>
      <c r="Y117" s="66">
        <f t="shared" si="27"/>
        <v>0</v>
      </c>
      <c r="Z117" s="66">
        <f t="shared" si="27"/>
        <v>0</v>
      </c>
      <c r="AA117" s="66">
        <f t="shared" si="27"/>
        <v>0</v>
      </c>
      <c r="AB117" s="61">
        <f t="shared" si="27"/>
        <v>0</v>
      </c>
      <c r="AC117" s="66">
        <f t="shared" si="27"/>
        <v>0</v>
      </c>
      <c r="AD117" s="66">
        <f t="shared" si="27"/>
        <v>0</v>
      </c>
      <c r="AE117" s="66">
        <f t="shared" si="27"/>
        <v>0</v>
      </c>
      <c r="AF117" s="66">
        <f t="shared" si="27"/>
        <v>0</v>
      </c>
      <c r="AG117" s="61">
        <f t="shared" si="27"/>
        <v>0</v>
      </c>
      <c r="AH117" s="66">
        <f t="shared" si="27"/>
        <v>0</v>
      </c>
      <c r="AI117" s="66">
        <f t="shared" si="27"/>
        <v>0</v>
      </c>
      <c r="AJ117" s="66">
        <f t="shared" si="27"/>
        <v>0</v>
      </c>
      <c r="AK117" s="66">
        <f t="shared" si="27"/>
        <v>0</v>
      </c>
      <c r="AL117" s="61">
        <f t="shared" si="27"/>
        <v>0</v>
      </c>
      <c r="AM117" s="68">
        <f t="shared" si="16"/>
        <v>1</v>
      </c>
    </row>
    <row r="118" spans="1:39" hidden="1" x14ac:dyDescent="0.35">
      <c r="A118" s="59" t="s">
        <v>281</v>
      </c>
      <c r="B118" s="54">
        <v>14</v>
      </c>
      <c r="C118" s="60" t="s">
        <v>225</v>
      </c>
      <c r="D118" s="60">
        <v>1</v>
      </c>
      <c r="E118" s="60"/>
      <c r="F118" s="60"/>
      <c r="G118" s="60"/>
      <c r="H118" s="61">
        <f>SUM(D118:G118)</f>
        <v>1</v>
      </c>
      <c r="I118" s="60"/>
      <c r="J118" s="60"/>
      <c r="K118" s="60"/>
      <c r="L118" s="60"/>
      <c r="M118" s="61">
        <f>SUM(I118:L118)</f>
        <v>0</v>
      </c>
      <c r="N118" s="60"/>
      <c r="O118" s="60">
        <v>1</v>
      </c>
      <c r="P118" s="60"/>
      <c r="Q118" s="60"/>
      <c r="R118" s="61">
        <f>SUM(N118:Q118)</f>
        <v>1</v>
      </c>
      <c r="S118" s="60"/>
      <c r="T118" s="60"/>
      <c r="U118" s="60"/>
      <c r="V118" s="60"/>
      <c r="W118" s="61">
        <f>SUM(S118:V118)</f>
        <v>0</v>
      </c>
      <c r="X118" s="60"/>
      <c r="Y118" s="60"/>
      <c r="Z118" s="60"/>
      <c r="AA118" s="60"/>
      <c r="AB118" s="61">
        <f>SUM(X118:AA118)</f>
        <v>0</v>
      </c>
      <c r="AC118" s="60"/>
      <c r="AD118" s="60"/>
      <c r="AE118" s="60"/>
      <c r="AF118" s="60"/>
      <c r="AG118" s="61">
        <f>SUM(AC118:AF118)</f>
        <v>0</v>
      </c>
      <c r="AH118" s="60">
        <v>13</v>
      </c>
      <c r="AI118" s="60"/>
      <c r="AJ118" s="60">
        <v>1</v>
      </c>
      <c r="AK118" s="60"/>
      <c r="AL118" s="61">
        <f>SUM(AH118:AK118)</f>
        <v>14</v>
      </c>
      <c r="AM118" s="68">
        <f t="shared" si="16"/>
        <v>16</v>
      </c>
    </row>
    <row r="119" spans="1:39" hidden="1" x14ac:dyDescent="0.35">
      <c r="A119" s="111" t="s">
        <v>282</v>
      </c>
      <c r="B119" s="54"/>
      <c r="C119" s="63" t="s">
        <v>239</v>
      </c>
      <c r="D119" s="63">
        <v>1</v>
      </c>
      <c r="E119" s="63">
        <v>1</v>
      </c>
      <c r="F119" s="63">
        <v>3</v>
      </c>
      <c r="G119" s="63"/>
      <c r="H119" s="61">
        <f>SUM(D119:G119)</f>
        <v>5</v>
      </c>
      <c r="I119" s="63"/>
      <c r="J119" s="63"/>
      <c r="K119" s="63"/>
      <c r="L119" s="63"/>
      <c r="M119" s="61">
        <f>SUM(I119:L119)</f>
        <v>0</v>
      </c>
      <c r="N119" s="63"/>
      <c r="O119" s="63"/>
      <c r="P119" s="63"/>
      <c r="Q119" s="63"/>
      <c r="R119" s="61">
        <f>SUM(N119:Q119)</f>
        <v>0</v>
      </c>
      <c r="S119" s="63"/>
      <c r="T119" s="63"/>
      <c r="U119" s="63"/>
      <c r="V119" s="63"/>
      <c r="W119" s="61">
        <f>SUM(S119:V119)</f>
        <v>0</v>
      </c>
      <c r="X119" s="63"/>
      <c r="Y119" s="63"/>
      <c r="Z119" s="63"/>
      <c r="AA119" s="63"/>
      <c r="AB119" s="61">
        <f>SUM(X119:AA119)</f>
        <v>0</v>
      </c>
      <c r="AC119" s="63"/>
      <c r="AD119" s="63"/>
      <c r="AE119" s="63"/>
      <c r="AF119" s="63"/>
      <c r="AG119" s="61">
        <f>SUM(AC119:AF119)</f>
        <v>0</v>
      </c>
      <c r="AH119" s="63">
        <v>9</v>
      </c>
      <c r="AI119" s="63">
        <v>2</v>
      </c>
      <c r="AJ119" s="63">
        <v>1</v>
      </c>
      <c r="AK119" s="63"/>
      <c r="AL119" s="61">
        <f>SUM(AH119:AK119)</f>
        <v>12</v>
      </c>
      <c r="AM119" s="68">
        <f t="shared" si="16"/>
        <v>17</v>
      </c>
    </row>
    <row r="120" spans="1:39" hidden="1" x14ac:dyDescent="0.35">
      <c r="A120" s="111"/>
      <c r="B120" s="54"/>
      <c r="C120" s="60" t="s">
        <v>228</v>
      </c>
      <c r="D120" s="60">
        <v>1</v>
      </c>
      <c r="E120" s="60"/>
      <c r="F120" s="60"/>
      <c r="G120" s="60"/>
      <c r="H120" s="61">
        <f>SUM(D120:G120)</f>
        <v>1</v>
      </c>
      <c r="I120" s="60"/>
      <c r="J120" s="60"/>
      <c r="K120" s="60"/>
      <c r="L120" s="60"/>
      <c r="M120" s="61">
        <f>SUM(I120:L120)</f>
        <v>0</v>
      </c>
      <c r="N120" s="60"/>
      <c r="O120" s="60"/>
      <c r="P120" s="60"/>
      <c r="Q120" s="60"/>
      <c r="R120" s="61">
        <f>SUM(N120:Q120)</f>
        <v>0</v>
      </c>
      <c r="S120" s="60"/>
      <c r="T120" s="60"/>
      <c r="U120" s="60"/>
      <c r="V120" s="60"/>
      <c r="W120" s="61">
        <f>SUM(S120:V120)</f>
        <v>0</v>
      </c>
      <c r="X120" s="60"/>
      <c r="Y120" s="60"/>
      <c r="Z120" s="60"/>
      <c r="AA120" s="60"/>
      <c r="AB120" s="61">
        <f>SUM(X120:AA120)</f>
        <v>0</v>
      </c>
      <c r="AC120" s="60"/>
      <c r="AD120" s="60"/>
      <c r="AE120" s="60"/>
      <c r="AF120" s="60"/>
      <c r="AG120" s="61">
        <f>SUM(AC120:AF120)</f>
        <v>0</v>
      </c>
      <c r="AH120" s="60">
        <v>3</v>
      </c>
      <c r="AI120" s="60"/>
      <c r="AJ120" s="60">
        <v>1</v>
      </c>
      <c r="AK120" s="60"/>
      <c r="AL120" s="61">
        <f>SUM(AH120:AK120)</f>
        <v>4</v>
      </c>
      <c r="AM120" s="68">
        <f t="shared" si="16"/>
        <v>5</v>
      </c>
    </row>
    <row r="121" spans="1:39" hidden="1" x14ac:dyDescent="0.35">
      <c r="A121" s="111"/>
      <c r="B121" s="54"/>
      <c r="C121" s="63" t="s">
        <v>235</v>
      </c>
      <c r="D121" s="63"/>
      <c r="E121" s="63">
        <v>1</v>
      </c>
      <c r="F121" s="63"/>
      <c r="G121" s="63"/>
      <c r="H121" s="61">
        <f>SUM(D121:G121)</f>
        <v>1</v>
      </c>
      <c r="I121" s="63"/>
      <c r="J121" s="63"/>
      <c r="K121" s="63"/>
      <c r="L121" s="63"/>
      <c r="M121" s="61">
        <f>SUM(I121:L121)</f>
        <v>0</v>
      </c>
      <c r="N121" s="63"/>
      <c r="O121" s="63"/>
      <c r="P121" s="63"/>
      <c r="Q121" s="63"/>
      <c r="R121" s="61">
        <f>SUM(N121:Q121)</f>
        <v>0</v>
      </c>
      <c r="S121" s="63"/>
      <c r="T121" s="63"/>
      <c r="U121" s="63"/>
      <c r="V121" s="63"/>
      <c r="W121" s="61">
        <f>SUM(S121:V121)</f>
        <v>0</v>
      </c>
      <c r="X121" s="63"/>
      <c r="Y121" s="63"/>
      <c r="Z121" s="63"/>
      <c r="AA121" s="63"/>
      <c r="AB121" s="61">
        <f>SUM(X121:AA121)</f>
        <v>0</v>
      </c>
      <c r="AC121" s="63"/>
      <c r="AD121" s="63"/>
      <c r="AE121" s="63"/>
      <c r="AF121" s="63"/>
      <c r="AG121" s="61">
        <f>SUM(AC121:AF121)</f>
        <v>0</v>
      </c>
      <c r="AH121" s="63">
        <v>6</v>
      </c>
      <c r="AI121" s="63"/>
      <c r="AJ121" s="63"/>
      <c r="AK121" s="63"/>
      <c r="AL121" s="61">
        <f>SUM(AH121:AK121)</f>
        <v>6</v>
      </c>
      <c r="AM121" s="68">
        <f t="shared" si="16"/>
        <v>7</v>
      </c>
    </row>
    <row r="122" spans="1:39" hidden="1" x14ac:dyDescent="0.35">
      <c r="A122" s="66" t="s">
        <v>282</v>
      </c>
      <c r="B122" s="67"/>
      <c r="C122" s="66"/>
      <c r="D122" s="66">
        <f t="shared" ref="D122:AL122" si="28">SUM(D118:D121)</f>
        <v>3</v>
      </c>
      <c r="E122" s="66">
        <f t="shared" si="28"/>
        <v>2</v>
      </c>
      <c r="F122" s="66">
        <f t="shared" si="28"/>
        <v>3</v>
      </c>
      <c r="G122" s="66">
        <f t="shared" si="28"/>
        <v>0</v>
      </c>
      <c r="H122" s="61">
        <f t="shared" si="28"/>
        <v>8</v>
      </c>
      <c r="I122" s="66">
        <f t="shared" si="28"/>
        <v>0</v>
      </c>
      <c r="J122" s="66">
        <f t="shared" si="28"/>
        <v>0</v>
      </c>
      <c r="K122" s="66">
        <f t="shared" si="28"/>
        <v>0</v>
      </c>
      <c r="L122" s="66">
        <f t="shared" si="28"/>
        <v>0</v>
      </c>
      <c r="M122" s="61">
        <f t="shared" si="28"/>
        <v>0</v>
      </c>
      <c r="N122" s="66">
        <f t="shared" si="28"/>
        <v>0</v>
      </c>
      <c r="O122" s="66">
        <f t="shared" si="28"/>
        <v>1</v>
      </c>
      <c r="P122" s="66">
        <f t="shared" si="28"/>
        <v>0</v>
      </c>
      <c r="Q122" s="66">
        <f t="shared" si="28"/>
        <v>0</v>
      </c>
      <c r="R122" s="61">
        <f t="shared" si="28"/>
        <v>1</v>
      </c>
      <c r="S122" s="66">
        <f t="shared" si="28"/>
        <v>0</v>
      </c>
      <c r="T122" s="66">
        <f t="shared" si="28"/>
        <v>0</v>
      </c>
      <c r="U122" s="66">
        <f t="shared" si="28"/>
        <v>0</v>
      </c>
      <c r="V122" s="66">
        <f t="shared" si="28"/>
        <v>0</v>
      </c>
      <c r="W122" s="61">
        <f t="shared" si="28"/>
        <v>0</v>
      </c>
      <c r="X122" s="66">
        <f t="shared" si="28"/>
        <v>0</v>
      </c>
      <c r="Y122" s="66">
        <f t="shared" si="28"/>
        <v>0</v>
      </c>
      <c r="Z122" s="66">
        <f t="shared" si="28"/>
        <v>0</v>
      </c>
      <c r="AA122" s="66">
        <f t="shared" si="28"/>
        <v>0</v>
      </c>
      <c r="AB122" s="61">
        <f t="shared" si="28"/>
        <v>0</v>
      </c>
      <c r="AC122" s="66">
        <f t="shared" si="28"/>
        <v>0</v>
      </c>
      <c r="AD122" s="66">
        <f t="shared" si="28"/>
        <v>0</v>
      </c>
      <c r="AE122" s="66">
        <f t="shared" si="28"/>
        <v>0</v>
      </c>
      <c r="AF122" s="66">
        <f t="shared" si="28"/>
        <v>0</v>
      </c>
      <c r="AG122" s="61">
        <f t="shared" si="28"/>
        <v>0</v>
      </c>
      <c r="AH122" s="66">
        <f t="shared" si="28"/>
        <v>31</v>
      </c>
      <c r="AI122" s="66">
        <f t="shared" si="28"/>
        <v>2</v>
      </c>
      <c r="AJ122" s="66">
        <f t="shared" si="28"/>
        <v>3</v>
      </c>
      <c r="AK122" s="66">
        <f t="shared" si="28"/>
        <v>0</v>
      </c>
      <c r="AL122" s="61">
        <f t="shared" si="28"/>
        <v>36</v>
      </c>
      <c r="AM122" s="68">
        <f t="shared" si="16"/>
        <v>45</v>
      </c>
    </row>
    <row r="123" spans="1:39" hidden="1" x14ac:dyDescent="0.35">
      <c r="A123" s="116" t="s">
        <v>399</v>
      </c>
      <c r="B123" s="54"/>
      <c r="C123" s="60" t="s">
        <v>225</v>
      </c>
      <c r="D123" s="60">
        <v>4</v>
      </c>
      <c r="E123" s="60"/>
      <c r="F123" s="60">
        <v>3</v>
      </c>
      <c r="G123" s="60"/>
      <c r="H123" s="61">
        <f>SUM(D123:G123)</f>
        <v>7</v>
      </c>
      <c r="I123" s="60"/>
      <c r="J123" s="60"/>
      <c r="K123" s="60"/>
      <c r="L123" s="60"/>
      <c r="M123" s="61">
        <f>SUM(I123:L123)</f>
        <v>0</v>
      </c>
      <c r="N123" s="60"/>
      <c r="O123" s="60"/>
      <c r="P123" s="60"/>
      <c r="Q123" s="60"/>
      <c r="R123" s="61">
        <f>SUM(N123:Q123)</f>
        <v>0</v>
      </c>
      <c r="S123" s="60"/>
      <c r="T123" s="60"/>
      <c r="U123" s="60"/>
      <c r="V123" s="60"/>
      <c r="W123" s="61">
        <f>SUM(S123:V123)</f>
        <v>0</v>
      </c>
      <c r="X123" s="60"/>
      <c r="Y123" s="60"/>
      <c r="Z123" s="60"/>
      <c r="AA123" s="60"/>
      <c r="AB123" s="61">
        <f>SUM(X123:AA123)</f>
        <v>0</v>
      </c>
      <c r="AC123" s="60"/>
      <c r="AD123" s="60"/>
      <c r="AE123" s="60"/>
      <c r="AF123" s="60"/>
      <c r="AG123" s="61">
        <f>SUM(AC123:AF123)</f>
        <v>0</v>
      </c>
      <c r="AH123" s="60"/>
      <c r="AI123" s="60"/>
      <c r="AJ123" s="60"/>
      <c r="AK123" s="60"/>
      <c r="AL123" s="61">
        <f>SUM(AH123:AK123)</f>
        <v>0</v>
      </c>
      <c r="AM123" s="68">
        <f t="shared" si="16"/>
        <v>7</v>
      </c>
    </row>
    <row r="124" spans="1:39" hidden="1" x14ac:dyDescent="0.35">
      <c r="A124" s="111"/>
      <c r="B124" s="54"/>
      <c r="C124" s="63" t="s">
        <v>227</v>
      </c>
      <c r="D124" s="63">
        <v>10</v>
      </c>
      <c r="E124" s="63"/>
      <c r="F124" s="63">
        <v>3</v>
      </c>
      <c r="G124" s="63"/>
      <c r="H124" s="61">
        <f>SUM(D124:G124)</f>
        <v>13</v>
      </c>
      <c r="I124" s="63"/>
      <c r="J124" s="63"/>
      <c r="K124" s="63"/>
      <c r="L124" s="63"/>
      <c r="M124" s="61">
        <f>SUM(I124:L124)</f>
        <v>0</v>
      </c>
      <c r="N124" s="63"/>
      <c r="O124" s="63">
        <v>1</v>
      </c>
      <c r="P124" s="63"/>
      <c r="Q124" s="63"/>
      <c r="R124" s="61">
        <f>SUM(N124:Q124)</f>
        <v>1</v>
      </c>
      <c r="S124" s="63"/>
      <c r="T124" s="63"/>
      <c r="U124" s="63"/>
      <c r="V124" s="63"/>
      <c r="W124" s="61">
        <f>SUM(S124:V124)</f>
        <v>0</v>
      </c>
      <c r="X124" s="63"/>
      <c r="Y124" s="63"/>
      <c r="Z124" s="63"/>
      <c r="AA124" s="63"/>
      <c r="AB124" s="61">
        <f>SUM(X124:AA124)</f>
        <v>0</v>
      </c>
      <c r="AC124" s="63"/>
      <c r="AD124" s="63"/>
      <c r="AE124" s="63"/>
      <c r="AF124" s="63"/>
      <c r="AG124" s="61">
        <f>SUM(AC124:AF124)</f>
        <v>0</v>
      </c>
      <c r="AH124" s="63">
        <v>10</v>
      </c>
      <c r="AI124" s="63"/>
      <c r="AJ124" s="63"/>
      <c r="AK124" s="63"/>
      <c r="AL124" s="61">
        <f>SUM(AH124:AK124)</f>
        <v>10</v>
      </c>
      <c r="AM124" s="68">
        <f t="shared" si="16"/>
        <v>24</v>
      </c>
    </row>
    <row r="125" spans="1:39" hidden="1" x14ac:dyDescent="0.35">
      <c r="A125" s="85"/>
      <c r="B125" s="54"/>
      <c r="C125" s="60" t="s">
        <v>228</v>
      </c>
      <c r="D125" s="60">
        <v>8</v>
      </c>
      <c r="E125" s="60"/>
      <c r="F125" s="60">
        <v>2</v>
      </c>
      <c r="G125" s="60"/>
      <c r="H125" s="61">
        <f>SUM(D125:G125)</f>
        <v>10</v>
      </c>
      <c r="I125" s="60"/>
      <c r="J125" s="60"/>
      <c r="K125" s="60"/>
      <c r="L125" s="60"/>
      <c r="M125" s="61">
        <f>SUM(I125:L125)</f>
        <v>0</v>
      </c>
      <c r="N125" s="60">
        <v>5</v>
      </c>
      <c r="O125" s="60"/>
      <c r="P125" s="60">
        <v>2</v>
      </c>
      <c r="Q125" s="60"/>
      <c r="R125" s="61">
        <f>SUM(N125:Q125)</f>
        <v>7</v>
      </c>
      <c r="S125" s="60"/>
      <c r="T125" s="60"/>
      <c r="U125" s="60"/>
      <c r="V125" s="60"/>
      <c r="W125" s="61">
        <f>SUM(S125:V125)</f>
        <v>0</v>
      </c>
      <c r="X125" s="60"/>
      <c r="Y125" s="60"/>
      <c r="Z125" s="60"/>
      <c r="AA125" s="60"/>
      <c r="AB125" s="61">
        <f>SUM(X125:AA125)</f>
        <v>0</v>
      </c>
      <c r="AC125" s="60">
        <v>1</v>
      </c>
      <c r="AD125" s="60"/>
      <c r="AE125" s="60"/>
      <c r="AF125" s="60"/>
      <c r="AG125" s="61">
        <f>SUM(AC125:AF125)</f>
        <v>1</v>
      </c>
      <c r="AH125" s="60">
        <v>2</v>
      </c>
      <c r="AI125" s="60"/>
      <c r="AJ125" s="60"/>
      <c r="AK125" s="60"/>
      <c r="AL125" s="61">
        <f>SUM(AH125:AK125)</f>
        <v>2</v>
      </c>
      <c r="AM125" s="68">
        <f t="shared" si="16"/>
        <v>20</v>
      </c>
    </row>
    <row r="126" spans="1:39" hidden="1" x14ac:dyDescent="0.35">
      <c r="A126" s="85"/>
      <c r="B126" s="54"/>
      <c r="C126" s="63" t="s">
        <v>235</v>
      </c>
      <c r="D126" s="63">
        <v>2</v>
      </c>
      <c r="E126" s="63"/>
      <c r="F126" s="63"/>
      <c r="G126" s="63"/>
      <c r="H126" s="61">
        <f>SUM(D126:G126)</f>
        <v>2</v>
      </c>
      <c r="I126" s="63"/>
      <c r="J126" s="63"/>
      <c r="K126" s="63"/>
      <c r="L126" s="63"/>
      <c r="M126" s="61">
        <f>SUM(I126:L126)</f>
        <v>0</v>
      </c>
      <c r="N126" s="63">
        <v>2</v>
      </c>
      <c r="O126" s="63"/>
      <c r="P126" s="63"/>
      <c r="Q126" s="63"/>
      <c r="R126" s="61">
        <f>SUM(N126:Q126)</f>
        <v>2</v>
      </c>
      <c r="S126" s="63"/>
      <c r="T126" s="63"/>
      <c r="U126" s="63"/>
      <c r="V126" s="63"/>
      <c r="W126" s="61">
        <f>SUM(S126:V126)</f>
        <v>0</v>
      </c>
      <c r="X126" s="63"/>
      <c r="Y126" s="63"/>
      <c r="Z126" s="63"/>
      <c r="AA126" s="63"/>
      <c r="AB126" s="61">
        <f>SUM(X126:AA126)</f>
        <v>0</v>
      </c>
      <c r="AC126" s="63"/>
      <c r="AD126" s="63"/>
      <c r="AE126" s="63"/>
      <c r="AF126" s="63"/>
      <c r="AG126" s="61">
        <f>SUM(AC126:AF126)</f>
        <v>0</v>
      </c>
      <c r="AH126" s="63">
        <v>2</v>
      </c>
      <c r="AI126" s="63"/>
      <c r="AJ126" s="63"/>
      <c r="AK126" s="63"/>
      <c r="AL126" s="61">
        <f>SUM(AH126:AK126)</f>
        <v>2</v>
      </c>
      <c r="AM126" s="68">
        <f t="shared" si="16"/>
        <v>6</v>
      </c>
    </row>
    <row r="127" spans="1:39" hidden="1" x14ac:dyDescent="0.35">
      <c r="A127" s="76" t="s">
        <v>399</v>
      </c>
      <c r="B127" s="67"/>
      <c r="C127" s="66"/>
      <c r="D127" s="66">
        <f t="shared" ref="D127:AL127" si="29">SUM(D123:D126)</f>
        <v>24</v>
      </c>
      <c r="E127" s="66">
        <f t="shared" si="29"/>
        <v>0</v>
      </c>
      <c r="F127" s="66">
        <f t="shared" si="29"/>
        <v>8</v>
      </c>
      <c r="G127" s="66">
        <f t="shared" si="29"/>
        <v>0</v>
      </c>
      <c r="H127" s="61">
        <f t="shared" si="29"/>
        <v>32</v>
      </c>
      <c r="I127" s="66">
        <f t="shared" si="29"/>
        <v>0</v>
      </c>
      <c r="J127" s="66">
        <f t="shared" si="29"/>
        <v>0</v>
      </c>
      <c r="K127" s="66">
        <f t="shared" si="29"/>
        <v>0</v>
      </c>
      <c r="L127" s="66">
        <f t="shared" si="29"/>
        <v>0</v>
      </c>
      <c r="M127" s="61">
        <f t="shared" si="29"/>
        <v>0</v>
      </c>
      <c r="N127" s="66">
        <f t="shared" si="29"/>
        <v>7</v>
      </c>
      <c r="O127" s="66">
        <f t="shared" si="29"/>
        <v>1</v>
      </c>
      <c r="P127" s="66">
        <f t="shared" si="29"/>
        <v>2</v>
      </c>
      <c r="Q127" s="66">
        <f t="shared" si="29"/>
        <v>0</v>
      </c>
      <c r="R127" s="61">
        <f t="shared" si="29"/>
        <v>10</v>
      </c>
      <c r="S127" s="66">
        <f t="shared" si="29"/>
        <v>0</v>
      </c>
      <c r="T127" s="66">
        <f t="shared" si="29"/>
        <v>0</v>
      </c>
      <c r="U127" s="66">
        <f t="shared" si="29"/>
        <v>0</v>
      </c>
      <c r="V127" s="66">
        <f t="shared" si="29"/>
        <v>0</v>
      </c>
      <c r="W127" s="61">
        <f t="shared" si="29"/>
        <v>0</v>
      </c>
      <c r="X127" s="66">
        <f t="shared" si="29"/>
        <v>0</v>
      </c>
      <c r="Y127" s="66">
        <f t="shared" si="29"/>
        <v>0</v>
      </c>
      <c r="Z127" s="66">
        <f t="shared" si="29"/>
        <v>0</v>
      </c>
      <c r="AA127" s="66">
        <f t="shared" si="29"/>
        <v>0</v>
      </c>
      <c r="AB127" s="61">
        <f t="shared" si="29"/>
        <v>0</v>
      </c>
      <c r="AC127" s="66">
        <f t="shared" si="29"/>
        <v>1</v>
      </c>
      <c r="AD127" s="66">
        <f t="shared" si="29"/>
        <v>0</v>
      </c>
      <c r="AE127" s="66">
        <f t="shared" si="29"/>
        <v>0</v>
      </c>
      <c r="AF127" s="66">
        <f t="shared" si="29"/>
        <v>0</v>
      </c>
      <c r="AG127" s="61">
        <f t="shared" si="29"/>
        <v>1</v>
      </c>
      <c r="AH127" s="66">
        <f t="shared" si="29"/>
        <v>14</v>
      </c>
      <c r="AI127" s="66">
        <f t="shared" si="29"/>
        <v>0</v>
      </c>
      <c r="AJ127" s="66">
        <f t="shared" si="29"/>
        <v>0</v>
      </c>
      <c r="AK127" s="66">
        <f t="shared" si="29"/>
        <v>0</v>
      </c>
      <c r="AL127" s="61">
        <f t="shared" si="29"/>
        <v>14</v>
      </c>
      <c r="AM127" s="68">
        <f t="shared" si="16"/>
        <v>57</v>
      </c>
    </row>
    <row r="128" spans="1:39" x14ac:dyDescent="0.35">
      <c r="A128" s="66" t="s">
        <v>281</v>
      </c>
      <c r="B128" s="67">
        <v>14</v>
      </c>
      <c r="C128" s="66"/>
      <c r="D128" s="66">
        <f t="shared" ref="D128:AL128" si="30">SUM(D127,D122)</f>
        <v>27</v>
      </c>
      <c r="E128" s="66">
        <f t="shared" si="30"/>
        <v>2</v>
      </c>
      <c r="F128" s="66">
        <f t="shared" si="30"/>
        <v>11</v>
      </c>
      <c r="G128" s="66">
        <f t="shared" si="30"/>
        <v>0</v>
      </c>
      <c r="H128" s="61">
        <f t="shared" si="30"/>
        <v>40</v>
      </c>
      <c r="I128" s="66">
        <f t="shared" si="30"/>
        <v>0</v>
      </c>
      <c r="J128" s="66">
        <f t="shared" si="30"/>
        <v>0</v>
      </c>
      <c r="K128" s="66">
        <f t="shared" si="30"/>
        <v>0</v>
      </c>
      <c r="L128" s="66">
        <f t="shared" si="30"/>
        <v>0</v>
      </c>
      <c r="M128" s="61">
        <f t="shared" si="30"/>
        <v>0</v>
      </c>
      <c r="N128" s="66">
        <f t="shared" si="30"/>
        <v>7</v>
      </c>
      <c r="O128" s="66">
        <f t="shared" si="30"/>
        <v>2</v>
      </c>
      <c r="P128" s="66">
        <f t="shared" si="30"/>
        <v>2</v>
      </c>
      <c r="Q128" s="66">
        <f t="shared" si="30"/>
        <v>0</v>
      </c>
      <c r="R128" s="61">
        <f t="shared" si="30"/>
        <v>11</v>
      </c>
      <c r="S128" s="66">
        <f t="shared" si="30"/>
        <v>0</v>
      </c>
      <c r="T128" s="66">
        <f t="shared" si="30"/>
        <v>0</v>
      </c>
      <c r="U128" s="66">
        <f t="shared" si="30"/>
        <v>0</v>
      </c>
      <c r="V128" s="66">
        <f t="shared" si="30"/>
        <v>0</v>
      </c>
      <c r="W128" s="61">
        <f t="shared" si="30"/>
        <v>0</v>
      </c>
      <c r="X128" s="66">
        <f t="shared" si="30"/>
        <v>0</v>
      </c>
      <c r="Y128" s="66">
        <f t="shared" si="30"/>
        <v>0</v>
      </c>
      <c r="Z128" s="66">
        <f t="shared" si="30"/>
        <v>0</v>
      </c>
      <c r="AA128" s="66">
        <f t="shared" si="30"/>
        <v>0</v>
      </c>
      <c r="AB128" s="61">
        <f t="shared" si="30"/>
        <v>0</v>
      </c>
      <c r="AC128" s="66">
        <f t="shared" si="30"/>
        <v>1</v>
      </c>
      <c r="AD128" s="66">
        <f t="shared" si="30"/>
        <v>0</v>
      </c>
      <c r="AE128" s="66">
        <f t="shared" si="30"/>
        <v>0</v>
      </c>
      <c r="AF128" s="66">
        <f t="shared" si="30"/>
        <v>0</v>
      </c>
      <c r="AG128" s="61">
        <f t="shared" si="30"/>
        <v>1</v>
      </c>
      <c r="AH128" s="66">
        <f t="shared" si="30"/>
        <v>45</v>
      </c>
      <c r="AI128" s="66">
        <f t="shared" si="30"/>
        <v>2</v>
      </c>
      <c r="AJ128" s="66">
        <f t="shared" si="30"/>
        <v>3</v>
      </c>
      <c r="AK128" s="66">
        <f t="shared" si="30"/>
        <v>0</v>
      </c>
      <c r="AL128" s="61">
        <f t="shared" si="30"/>
        <v>50</v>
      </c>
      <c r="AM128" s="68">
        <f t="shared" si="16"/>
        <v>102</v>
      </c>
    </row>
    <row r="129" spans="1:39" hidden="1" x14ac:dyDescent="0.35">
      <c r="A129" s="59" t="s">
        <v>283</v>
      </c>
      <c r="B129" s="54">
        <v>7</v>
      </c>
      <c r="C129" s="60" t="s">
        <v>225</v>
      </c>
      <c r="D129" s="60"/>
      <c r="E129" s="60"/>
      <c r="F129" s="60"/>
      <c r="G129" s="60"/>
      <c r="H129" s="61">
        <f>SUM(D129:G129)</f>
        <v>0</v>
      </c>
      <c r="I129" s="60"/>
      <c r="J129" s="60"/>
      <c r="K129" s="60"/>
      <c r="L129" s="60"/>
      <c r="M129" s="61">
        <f>SUM(I129:L129)</f>
        <v>0</v>
      </c>
      <c r="N129" s="60">
        <v>2</v>
      </c>
      <c r="O129" s="60">
        <v>3</v>
      </c>
      <c r="P129" s="60"/>
      <c r="Q129" s="60"/>
      <c r="R129" s="61">
        <f>SUM(N129:Q129)</f>
        <v>5</v>
      </c>
      <c r="S129" s="60"/>
      <c r="T129" s="60"/>
      <c r="U129" s="60"/>
      <c r="V129" s="60"/>
      <c r="W129" s="61">
        <f>SUM(S129:V129)</f>
        <v>0</v>
      </c>
      <c r="X129" s="60"/>
      <c r="Y129" s="60"/>
      <c r="Z129" s="60"/>
      <c r="AA129" s="60"/>
      <c r="AB129" s="61">
        <f>SUM(X129:AA129)</f>
        <v>0</v>
      </c>
      <c r="AC129" s="60"/>
      <c r="AD129" s="60"/>
      <c r="AE129" s="60"/>
      <c r="AF129" s="60"/>
      <c r="AG129" s="61">
        <f>SUM(AC129:AF129)</f>
        <v>0</v>
      </c>
      <c r="AH129" s="60"/>
      <c r="AI129" s="60"/>
      <c r="AJ129" s="60"/>
      <c r="AK129" s="60"/>
      <c r="AL129" s="61">
        <f>SUM(AH129:AK129)</f>
        <v>0</v>
      </c>
      <c r="AM129" s="68">
        <f t="shared" si="16"/>
        <v>5</v>
      </c>
    </row>
    <row r="130" spans="1:39" hidden="1" x14ac:dyDescent="0.35">
      <c r="A130" s="111" t="s">
        <v>284</v>
      </c>
      <c r="B130" s="54"/>
      <c r="C130" s="63" t="s">
        <v>227</v>
      </c>
      <c r="D130" s="63"/>
      <c r="E130" s="63"/>
      <c r="F130" s="63"/>
      <c r="G130" s="63"/>
      <c r="H130" s="61">
        <f>SUM(D130:G130)</f>
        <v>0</v>
      </c>
      <c r="I130" s="63"/>
      <c r="J130" s="63"/>
      <c r="K130" s="63"/>
      <c r="L130" s="63"/>
      <c r="M130" s="61">
        <f>SUM(I130:L130)</f>
        <v>0</v>
      </c>
      <c r="N130" s="63"/>
      <c r="O130" s="63">
        <v>1</v>
      </c>
      <c r="P130" s="63"/>
      <c r="Q130" s="63"/>
      <c r="R130" s="61">
        <f>SUM(N130:Q130)</f>
        <v>1</v>
      </c>
      <c r="S130" s="63"/>
      <c r="T130" s="63"/>
      <c r="U130" s="63"/>
      <c r="V130" s="63"/>
      <c r="W130" s="61">
        <f>SUM(S130:V130)</f>
        <v>0</v>
      </c>
      <c r="X130" s="63"/>
      <c r="Y130" s="63"/>
      <c r="Z130" s="63"/>
      <c r="AA130" s="63"/>
      <c r="AB130" s="61">
        <f>SUM(X130:AA130)</f>
        <v>0</v>
      </c>
      <c r="AC130" s="63"/>
      <c r="AD130" s="63"/>
      <c r="AE130" s="63"/>
      <c r="AF130" s="63"/>
      <c r="AG130" s="61">
        <f>SUM(AC130:AF130)</f>
        <v>0</v>
      </c>
      <c r="AH130" s="63"/>
      <c r="AI130" s="63"/>
      <c r="AJ130" s="63"/>
      <c r="AK130" s="63"/>
      <c r="AL130" s="61">
        <f>SUM(AH130:AK130)</f>
        <v>0</v>
      </c>
      <c r="AM130" s="68">
        <f t="shared" si="16"/>
        <v>1</v>
      </c>
    </row>
    <row r="131" spans="1:39" hidden="1" x14ac:dyDescent="0.35">
      <c r="A131" s="111"/>
      <c r="B131" s="54"/>
      <c r="C131" s="60" t="s">
        <v>228</v>
      </c>
      <c r="D131" s="60">
        <v>2</v>
      </c>
      <c r="E131" s="60"/>
      <c r="F131" s="60"/>
      <c r="G131" s="60"/>
      <c r="H131" s="61">
        <f>SUM(D131:G131)</f>
        <v>2</v>
      </c>
      <c r="I131" s="60"/>
      <c r="J131" s="60"/>
      <c r="K131" s="60"/>
      <c r="L131" s="60"/>
      <c r="M131" s="61">
        <f>SUM(I131:L131)</f>
        <v>0</v>
      </c>
      <c r="N131" s="60"/>
      <c r="O131" s="60">
        <v>1</v>
      </c>
      <c r="P131" s="60"/>
      <c r="Q131" s="60"/>
      <c r="R131" s="61">
        <f>SUM(N131:Q131)</f>
        <v>1</v>
      </c>
      <c r="S131" s="60"/>
      <c r="T131" s="60"/>
      <c r="U131" s="60"/>
      <c r="V131" s="60"/>
      <c r="W131" s="61">
        <f>SUM(S131:V131)</f>
        <v>0</v>
      </c>
      <c r="X131" s="60"/>
      <c r="Y131" s="60"/>
      <c r="Z131" s="60"/>
      <c r="AA131" s="60"/>
      <c r="AB131" s="61">
        <f>SUM(X131:AA131)</f>
        <v>0</v>
      </c>
      <c r="AC131" s="60"/>
      <c r="AD131" s="60"/>
      <c r="AE131" s="60"/>
      <c r="AF131" s="60"/>
      <c r="AG131" s="61">
        <f>SUM(AC131:AF131)</f>
        <v>0</v>
      </c>
      <c r="AH131" s="60"/>
      <c r="AI131" s="60"/>
      <c r="AJ131" s="60"/>
      <c r="AK131" s="60"/>
      <c r="AL131" s="61">
        <f>SUM(AH131:AK131)</f>
        <v>0</v>
      </c>
      <c r="AM131" s="68">
        <f t="shared" si="16"/>
        <v>3</v>
      </c>
    </row>
    <row r="132" spans="1:39" hidden="1" x14ac:dyDescent="0.35">
      <c r="A132" s="111"/>
      <c r="B132" s="54"/>
      <c r="C132" s="63" t="s">
        <v>235</v>
      </c>
      <c r="D132" s="63">
        <v>3</v>
      </c>
      <c r="E132" s="63"/>
      <c r="F132" s="63"/>
      <c r="G132" s="63"/>
      <c r="H132" s="61">
        <f>SUM(D132:G132)</f>
        <v>3</v>
      </c>
      <c r="I132" s="63"/>
      <c r="J132" s="63"/>
      <c r="K132" s="63"/>
      <c r="L132" s="63"/>
      <c r="M132" s="61">
        <f>SUM(I132:L132)</f>
        <v>0</v>
      </c>
      <c r="N132" s="63">
        <v>3</v>
      </c>
      <c r="O132" s="63"/>
      <c r="P132" s="63"/>
      <c r="Q132" s="63"/>
      <c r="R132" s="61">
        <f>SUM(N132:Q132)</f>
        <v>3</v>
      </c>
      <c r="S132" s="63"/>
      <c r="T132" s="63"/>
      <c r="U132" s="63"/>
      <c r="V132" s="63"/>
      <c r="W132" s="61">
        <f>SUM(S132:V132)</f>
        <v>0</v>
      </c>
      <c r="X132" s="63"/>
      <c r="Y132" s="63"/>
      <c r="Z132" s="63"/>
      <c r="AA132" s="63"/>
      <c r="AB132" s="61">
        <f>SUM(X132:AA132)</f>
        <v>0</v>
      </c>
      <c r="AC132" s="63"/>
      <c r="AD132" s="63"/>
      <c r="AE132" s="63"/>
      <c r="AF132" s="63"/>
      <c r="AG132" s="61">
        <f>SUM(AC132:AF132)</f>
        <v>0</v>
      </c>
      <c r="AH132" s="63"/>
      <c r="AI132" s="63"/>
      <c r="AJ132" s="63"/>
      <c r="AK132" s="63"/>
      <c r="AL132" s="61">
        <f>SUM(AH132:AK132)</f>
        <v>0</v>
      </c>
      <c r="AM132" s="68">
        <f t="shared" si="16"/>
        <v>6</v>
      </c>
    </row>
    <row r="133" spans="1:39" x14ac:dyDescent="0.35">
      <c r="A133" s="66" t="s">
        <v>283</v>
      </c>
      <c r="B133" s="67">
        <v>7</v>
      </c>
      <c r="C133" s="66"/>
      <c r="D133" s="66">
        <f t="shared" ref="D133:AL133" si="31">SUM(D129:D132)</f>
        <v>5</v>
      </c>
      <c r="E133" s="66">
        <f t="shared" si="31"/>
        <v>0</v>
      </c>
      <c r="F133" s="66">
        <f t="shared" si="31"/>
        <v>0</v>
      </c>
      <c r="G133" s="66">
        <f t="shared" si="31"/>
        <v>0</v>
      </c>
      <c r="H133" s="61">
        <f t="shared" si="31"/>
        <v>5</v>
      </c>
      <c r="I133" s="66">
        <f t="shared" si="31"/>
        <v>0</v>
      </c>
      <c r="J133" s="66">
        <f t="shared" si="31"/>
        <v>0</v>
      </c>
      <c r="K133" s="66">
        <f t="shared" si="31"/>
        <v>0</v>
      </c>
      <c r="L133" s="66">
        <f t="shared" si="31"/>
        <v>0</v>
      </c>
      <c r="M133" s="61">
        <f t="shared" si="31"/>
        <v>0</v>
      </c>
      <c r="N133" s="66">
        <f t="shared" si="31"/>
        <v>5</v>
      </c>
      <c r="O133" s="66">
        <f t="shared" si="31"/>
        <v>5</v>
      </c>
      <c r="P133" s="66">
        <f t="shared" si="31"/>
        <v>0</v>
      </c>
      <c r="Q133" s="66">
        <f t="shared" si="31"/>
        <v>0</v>
      </c>
      <c r="R133" s="61">
        <f t="shared" si="31"/>
        <v>10</v>
      </c>
      <c r="S133" s="66">
        <f t="shared" si="31"/>
        <v>0</v>
      </c>
      <c r="T133" s="66">
        <f t="shared" si="31"/>
        <v>0</v>
      </c>
      <c r="U133" s="66">
        <f t="shared" si="31"/>
        <v>0</v>
      </c>
      <c r="V133" s="66">
        <f t="shared" si="31"/>
        <v>0</v>
      </c>
      <c r="W133" s="61">
        <f t="shared" si="31"/>
        <v>0</v>
      </c>
      <c r="X133" s="66">
        <f t="shared" si="31"/>
        <v>0</v>
      </c>
      <c r="Y133" s="66">
        <f t="shared" si="31"/>
        <v>0</v>
      </c>
      <c r="Z133" s="66">
        <f t="shared" si="31"/>
        <v>0</v>
      </c>
      <c r="AA133" s="66">
        <f t="shared" si="31"/>
        <v>0</v>
      </c>
      <c r="AB133" s="61">
        <f t="shared" si="31"/>
        <v>0</v>
      </c>
      <c r="AC133" s="66">
        <f t="shared" si="31"/>
        <v>0</v>
      </c>
      <c r="AD133" s="66">
        <f t="shared" si="31"/>
        <v>0</v>
      </c>
      <c r="AE133" s="66">
        <f t="shared" si="31"/>
        <v>0</v>
      </c>
      <c r="AF133" s="66">
        <f t="shared" si="31"/>
        <v>0</v>
      </c>
      <c r="AG133" s="61">
        <f t="shared" si="31"/>
        <v>0</v>
      </c>
      <c r="AH133" s="66">
        <f t="shared" si="31"/>
        <v>0</v>
      </c>
      <c r="AI133" s="66">
        <f t="shared" si="31"/>
        <v>0</v>
      </c>
      <c r="AJ133" s="66">
        <f t="shared" si="31"/>
        <v>0</v>
      </c>
      <c r="AK133" s="66">
        <f t="shared" si="31"/>
        <v>0</v>
      </c>
      <c r="AL133" s="61">
        <f t="shared" si="31"/>
        <v>0</v>
      </c>
      <c r="AM133" s="68">
        <f t="shared" ref="AM133:AM196" si="32">SUM(H133,M133,R133,W133,AB133,AG133,AL133)</f>
        <v>15</v>
      </c>
    </row>
    <row r="134" spans="1:39" hidden="1" x14ac:dyDescent="0.35">
      <c r="A134" s="59" t="s">
        <v>285</v>
      </c>
      <c r="B134" s="54">
        <v>21</v>
      </c>
      <c r="C134" s="60" t="s">
        <v>225</v>
      </c>
      <c r="D134" s="60"/>
      <c r="E134" s="60"/>
      <c r="F134" s="60"/>
      <c r="G134" s="60"/>
      <c r="H134" s="61">
        <f>SUM(D134:G134)</f>
        <v>0</v>
      </c>
      <c r="I134" s="60"/>
      <c r="J134" s="60"/>
      <c r="K134" s="60"/>
      <c r="L134" s="60"/>
      <c r="M134" s="61">
        <f>SUM(I134:L134)</f>
        <v>0</v>
      </c>
      <c r="N134" s="60"/>
      <c r="O134" s="60"/>
      <c r="P134" s="60"/>
      <c r="Q134" s="60"/>
      <c r="R134" s="61">
        <f>SUM(N134:Q134)</f>
        <v>0</v>
      </c>
      <c r="S134" s="60"/>
      <c r="T134" s="60"/>
      <c r="U134" s="60"/>
      <c r="V134" s="60"/>
      <c r="W134" s="61">
        <f>SUM(S134:V134)</f>
        <v>0</v>
      </c>
      <c r="X134" s="60"/>
      <c r="Y134" s="60"/>
      <c r="Z134" s="60"/>
      <c r="AA134" s="60"/>
      <c r="AB134" s="61">
        <f>SUM(X134:AA134)</f>
        <v>0</v>
      </c>
      <c r="AC134" s="60"/>
      <c r="AD134" s="60"/>
      <c r="AE134" s="60"/>
      <c r="AF134" s="60"/>
      <c r="AG134" s="61">
        <f>SUM(AC134:AF134)</f>
        <v>0</v>
      </c>
      <c r="AH134" s="60"/>
      <c r="AI134" s="60"/>
      <c r="AJ134" s="60"/>
      <c r="AK134" s="60"/>
      <c r="AL134" s="61">
        <f>SUM(AH134:AK134)</f>
        <v>0</v>
      </c>
      <c r="AM134" s="68">
        <f t="shared" si="32"/>
        <v>0</v>
      </c>
    </row>
    <row r="135" spans="1:39" hidden="1" x14ac:dyDescent="0.35">
      <c r="A135" s="111" t="s">
        <v>286</v>
      </c>
      <c r="B135" s="54"/>
      <c r="C135" s="63" t="s">
        <v>227</v>
      </c>
      <c r="D135" s="63"/>
      <c r="E135" s="63"/>
      <c r="F135" s="63"/>
      <c r="G135" s="63"/>
      <c r="H135" s="61">
        <f>SUM(D135:G135)</f>
        <v>0</v>
      </c>
      <c r="I135" s="63"/>
      <c r="J135" s="63"/>
      <c r="K135" s="63"/>
      <c r="L135" s="63"/>
      <c r="M135" s="61">
        <f>SUM(I135:L135)</f>
        <v>0</v>
      </c>
      <c r="N135" s="63"/>
      <c r="O135" s="63"/>
      <c r="P135" s="63"/>
      <c r="Q135" s="63"/>
      <c r="R135" s="61">
        <f>SUM(N135:Q135)</f>
        <v>0</v>
      </c>
      <c r="S135" s="63"/>
      <c r="T135" s="63"/>
      <c r="U135" s="63"/>
      <c r="V135" s="63"/>
      <c r="W135" s="61">
        <f>SUM(S135:V135)</f>
        <v>0</v>
      </c>
      <c r="X135" s="63"/>
      <c r="Y135" s="63"/>
      <c r="Z135" s="63"/>
      <c r="AA135" s="63"/>
      <c r="AB135" s="61">
        <f>SUM(X135:AA135)</f>
        <v>0</v>
      </c>
      <c r="AC135" s="63"/>
      <c r="AD135" s="63"/>
      <c r="AE135" s="63"/>
      <c r="AF135" s="63"/>
      <c r="AG135" s="61">
        <f>SUM(AC135:AF135)</f>
        <v>0</v>
      </c>
      <c r="AH135" s="63"/>
      <c r="AI135" s="63"/>
      <c r="AJ135" s="63"/>
      <c r="AK135" s="63"/>
      <c r="AL135" s="61">
        <f>SUM(AH135:AK135)</f>
        <v>0</v>
      </c>
      <c r="AM135" s="68">
        <f t="shared" si="32"/>
        <v>0</v>
      </c>
    </row>
    <row r="136" spans="1:39" hidden="1" x14ac:dyDescent="0.35">
      <c r="A136" s="111"/>
      <c r="B136" s="54"/>
      <c r="C136" s="60" t="s">
        <v>228</v>
      </c>
      <c r="D136" s="60"/>
      <c r="E136" s="60"/>
      <c r="F136" s="60"/>
      <c r="G136" s="60"/>
      <c r="H136" s="61">
        <f>SUM(D136:G136)</f>
        <v>0</v>
      </c>
      <c r="I136" s="60"/>
      <c r="J136" s="60"/>
      <c r="K136" s="60"/>
      <c r="L136" s="60"/>
      <c r="M136" s="61">
        <f>SUM(I136:L136)</f>
        <v>0</v>
      </c>
      <c r="N136" s="60"/>
      <c r="O136" s="60"/>
      <c r="P136" s="60"/>
      <c r="Q136" s="60"/>
      <c r="R136" s="61">
        <f>SUM(N136:Q136)</f>
        <v>0</v>
      </c>
      <c r="S136" s="60"/>
      <c r="T136" s="60"/>
      <c r="U136" s="60"/>
      <c r="V136" s="60"/>
      <c r="W136" s="61">
        <f>SUM(S136:V136)</f>
        <v>0</v>
      </c>
      <c r="X136" s="60"/>
      <c r="Y136" s="60"/>
      <c r="Z136" s="60"/>
      <c r="AA136" s="60"/>
      <c r="AB136" s="61">
        <f>SUM(X136:AA136)</f>
        <v>0</v>
      </c>
      <c r="AC136" s="60"/>
      <c r="AD136" s="60"/>
      <c r="AE136" s="60"/>
      <c r="AF136" s="60"/>
      <c r="AG136" s="61">
        <f>SUM(AC136:AF136)</f>
        <v>0</v>
      </c>
      <c r="AH136" s="60"/>
      <c r="AI136" s="60"/>
      <c r="AJ136" s="60"/>
      <c r="AK136" s="60"/>
      <c r="AL136" s="61">
        <f>SUM(AH136:AK136)</f>
        <v>0</v>
      </c>
      <c r="AM136" s="68">
        <f t="shared" si="32"/>
        <v>0</v>
      </c>
    </row>
    <row r="137" spans="1:39" hidden="1" x14ac:dyDescent="0.35">
      <c r="A137" s="111"/>
      <c r="B137" s="54"/>
      <c r="C137" s="63" t="s">
        <v>235</v>
      </c>
      <c r="D137" s="63"/>
      <c r="E137" s="63"/>
      <c r="F137" s="63"/>
      <c r="G137" s="63"/>
      <c r="H137" s="61">
        <f>SUM(D137:G137)</f>
        <v>0</v>
      </c>
      <c r="I137" s="63"/>
      <c r="J137" s="63"/>
      <c r="K137" s="63"/>
      <c r="L137" s="63"/>
      <c r="M137" s="61">
        <f>SUM(I137:L137)</f>
        <v>0</v>
      </c>
      <c r="N137" s="63"/>
      <c r="O137" s="63"/>
      <c r="P137" s="63"/>
      <c r="Q137" s="63"/>
      <c r="R137" s="61">
        <f>SUM(N137:Q137)</f>
        <v>0</v>
      </c>
      <c r="S137" s="63"/>
      <c r="T137" s="63"/>
      <c r="U137" s="63"/>
      <c r="V137" s="63"/>
      <c r="W137" s="61">
        <f>SUM(S137:V137)</f>
        <v>0</v>
      </c>
      <c r="X137" s="63"/>
      <c r="Y137" s="63"/>
      <c r="Z137" s="63"/>
      <c r="AA137" s="63"/>
      <c r="AB137" s="61">
        <f>SUM(X137:AA137)</f>
        <v>0</v>
      </c>
      <c r="AC137" s="63"/>
      <c r="AD137" s="63"/>
      <c r="AE137" s="63"/>
      <c r="AF137" s="63"/>
      <c r="AG137" s="61">
        <f>SUM(AC137:AF137)</f>
        <v>0</v>
      </c>
      <c r="AH137" s="63"/>
      <c r="AI137" s="63"/>
      <c r="AJ137" s="63"/>
      <c r="AK137" s="63"/>
      <c r="AL137" s="61">
        <f>SUM(AH137:AK137)</f>
        <v>0</v>
      </c>
      <c r="AM137" s="68">
        <f t="shared" si="32"/>
        <v>0</v>
      </c>
    </row>
    <row r="138" spans="1:39" hidden="1" x14ac:dyDescent="0.35">
      <c r="A138" s="66" t="s">
        <v>286</v>
      </c>
      <c r="B138" s="67"/>
      <c r="C138" s="66"/>
      <c r="D138" s="66">
        <f t="shared" ref="D138:AL138" si="33">SUM(D134:D137)</f>
        <v>0</v>
      </c>
      <c r="E138" s="66">
        <f t="shared" si="33"/>
        <v>0</v>
      </c>
      <c r="F138" s="66">
        <f t="shared" si="33"/>
        <v>0</v>
      </c>
      <c r="G138" s="66">
        <f t="shared" si="33"/>
        <v>0</v>
      </c>
      <c r="H138" s="61">
        <f t="shared" si="33"/>
        <v>0</v>
      </c>
      <c r="I138" s="66">
        <f t="shared" si="33"/>
        <v>0</v>
      </c>
      <c r="J138" s="66">
        <f t="shared" si="33"/>
        <v>0</v>
      </c>
      <c r="K138" s="66">
        <f t="shared" si="33"/>
        <v>0</v>
      </c>
      <c r="L138" s="66">
        <f t="shared" si="33"/>
        <v>0</v>
      </c>
      <c r="M138" s="61">
        <f t="shared" si="33"/>
        <v>0</v>
      </c>
      <c r="N138" s="66">
        <f t="shared" si="33"/>
        <v>0</v>
      </c>
      <c r="O138" s="66">
        <f t="shared" si="33"/>
        <v>0</v>
      </c>
      <c r="P138" s="66">
        <f t="shared" si="33"/>
        <v>0</v>
      </c>
      <c r="Q138" s="66">
        <f t="shared" si="33"/>
        <v>0</v>
      </c>
      <c r="R138" s="61">
        <f t="shared" si="33"/>
        <v>0</v>
      </c>
      <c r="S138" s="66">
        <f t="shared" si="33"/>
        <v>0</v>
      </c>
      <c r="T138" s="66">
        <f t="shared" si="33"/>
        <v>0</v>
      </c>
      <c r="U138" s="66">
        <f t="shared" si="33"/>
        <v>0</v>
      </c>
      <c r="V138" s="66">
        <f t="shared" si="33"/>
        <v>0</v>
      </c>
      <c r="W138" s="61">
        <f t="shared" si="33"/>
        <v>0</v>
      </c>
      <c r="X138" s="66">
        <f t="shared" si="33"/>
        <v>0</v>
      </c>
      <c r="Y138" s="66">
        <f t="shared" si="33"/>
        <v>0</v>
      </c>
      <c r="Z138" s="66">
        <f t="shared" si="33"/>
        <v>0</v>
      </c>
      <c r="AA138" s="66">
        <f t="shared" si="33"/>
        <v>0</v>
      </c>
      <c r="AB138" s="61">
        <f t="shared" si="33"/>
        <v>0</v>
      </c>
      <c r="AC138" s="66">
        <f t="shared" si="33"/>
        <v>0</v>
      </c>
      <c r="AD138" s="66">
        <f t="shared" si="33"/>
        <v>0</v>
      </c>
      <c r="AE138" s="66">
        <f t="shared" si="33"/>
        <v>0</v>
      </c>
      <c r="AF138" s="66">
        <f t="shared" si="33"/>
        <v>0</v>
      </c>
      <c r="AG138" s="61">
        <f t="shared" si="33"/>
        <v>0</v>
      </c>
      <c r="AH138" s="66">
        <f t="shared" si="33"/>
        <v>0</v>
      </c>
      <c r="AI138" s="66">
        <f t="shared" si="33"/>
        <v>0</v>
      </c>
      <c r="AJ138" s="66">
        <f t="shared" si="33"/>
        <v>0</v>
      </c>
      <c r="AK138" s="66">
        <f t="shared" si="33"/>
        <v>0</v>
      </c>
      <c r="AL138" s="61">
        <f t="shared" si="33"/>
        <v>0</v>
      </c>
      <c r="AM138" s="68">
        <f t="shared" si="32"/>
        <v>0</v>
      </c>
    </row>
    <row r="139" spans="1:39" hidden="1" x14ac:dyDescent="0.35">
      <c r="A139" s="111" t="s">
        <v>287</v>
      </c>
      <c r="B139" s="54"/>
      <c r="C139" s="60" t="s">
        <v>225</v>
      </c>
      <c r="D139" s="60">
        <v>4</v>
      </c>
      <c r="E139" s="60">
        <v>2</v>
      </c>
      <c r="F139" s="60"/>
      <c r="G139" s="60"/>
      <c r="H139" s="61">
        <f>SUM(D139:G139)</f>
        <v>6</v>
      </c>
      <c r="I139" s="60"/>
      <c r="J139" s="60"/>
      <c r="K139" s="60"/>
      <c r="L139" s="60"/>
      <c r="M139" s="61">
        <f>SUM(I139:L139)</f>
        <v>0</v>
      </c>
      <c r="N139" s="60"/>
      <c r="O139" s="60"/>
      <c r="P139" s="60"/>
      <c r="Q139" s="60"/>
      <c r="R139" s="61">
        <f>SUM(N139:Q139)</f>
        <v>0</v>
      </c>
      <c r="S139" s="60"/>
      <c r="T139" s="60"/>
      <c r="U139" s="60"/>
      <c r="V139" s="60"/>
      <c r="W139" s="61">
        <f>SUM(S139:V139)</f>
        <v>0</v>
      </c>
      <c r="X139" s="60"/>
      <c r="Y139" s="60"/>
      <c r="Z139" s="60"/>
      <c r="AA139" s="60"/>
      <c r="AB139" s="61">
        <f>SUM(X139:AA139)</f>
        <v>0</v>
      </c>
      <c r="AC139" s="60"/>
      <c r="AD139" s="60"/>
      <c r="AE139" s="60"/>
      <c r="AF139" s="60"/>
      <c r="AG139" s="61">
        <f>SUM(AC139:AF139)</f>
        <v>0</v>
      </c>
      <c r="AH139" s="60"/>
      <c r="AI139" s="60"/>
      <c r="AJ139" s="60"/>
      <c r="AK139" s="60"/>
      <c r="AL139" s="61">
        <f>SUM(AH139:AK139)</f>
        <v>0</v>
      </c>
      <c r="AM139" s="68">
        <f t="shared" si="32"/>
        <v>6</v>
      </c>
    </row>
    <row r="140" spans="1:39" hidden="1" x14ac:dyDescent="0.35">
      <c r="A140" s="111"/>
      <c r="B140" s="54"/>
      <c r="C140" s="63" t="s">
        <v>227</v>
      </c>
      <c r="D140" s="63">
        <v>1</v>
      </c>
      <c r="E140" s="63"/>
      <c r="F140" s="63"/>
      <c r="G140" s="63"/>
      <c r="H140" s="61">
        <f>SUM(D140:G140)</f>
        <v>1</v>
      </c>
      <c r="I140" s="63"/>
      <c r="J140" s="63"/>
      <c r="K140" s="63"/>
      <c r="L140" s="63"/>
      <c r="M140" s="61">
        <f>SUM(I140:L140)</f>
        <v>0</v>
      </c>
      <c r="N140" s="63">
        <v>1</v>
      </c>
      <c r="O140" s="63"/>
      <c r="P140" s="63"/>
      <c r="Q140" s="63"/>
      <c r="R140" s="61">
        <f>SUM(N140:Q140)</f>
        <v>1</v>
      </c>
      <c r="S140" s="63">
        <v>1</v>
      </c>
      <c r="T140" s="63"/>
      <c r="U140" s="63"/>
      <c r="V140" s="63"/>
      <c r="W140" s="61">
        <f>SUM(S140:V140)</f>
        <v>1</v>
      </c>
      <c r="X140" s="63"/>
      <c r="Y140" s="63"/>
      <c r="Z140" s="63"/>
      <c r="AA140" s="63"/>
      <c r="AB140" s="61">
        <f>SUM(X140:AA140)</f>
        <v>0</v>
      </c>
      <c r="AC140" s="63"/>
      <c r="AD140" s="63"/>
      <c r="AE140" s="63"/>
      <c r="AF140" s="63"/>
      <c r="AG140" s="61">
        <f>SUM(AC140:AF140)</f>
        <v>0</v>
      </c>
      <c r="AH140" s="63"/>
      <c r="AI140" s="63"/>
      <c r="AJ140" s="63"/>
      <c r="AK140" s="63"/>
      <c r="AL140" s="61">
        <f>SUM(AH140:AK140)</f>
        <v>0</v>
      </c>
      <c r="AM140" s="68">
        <f t="shared" si="32"/>
        <v>3</v>
      </c>
    </row>
    <row r="141" spans="1:39" hidden="1" x14ac:dyDescent="0.35">
      <c r="A141" s="111"/>
      <c r="B141" s="54"/>
      <c r="C141" s="60" t="s">
        <v>228</v>
      </c>
      <c r="D141" s="60"/>
      <c r="E141" s="60"/>
      <c r="F141" s="60"/>
      <c r="G141" s="60"/>
      <c r="H141" s="61">
        <f>SUM(D141:G141)</f>
        <v>0</v>
      </c>
      <c r="I141" s="60"/>
      <c r="J141" s="60"/>
      <c r="K141" s="60"/>
      <c r="L141" s="60"/>
      <c r="M141" s="61">
        <f>SUM(I141:L141)</f>
        <v>0</v>
      </c>
      <c r="N141" s="60"/>
      <c r="O141" s="60"/>
      <c r="P141" s="60"/>
      <c r="Q141" s="60"/>
      <c r="R141" s="61">
        <f>SUM(N141:Q141)</f>
        <v>0</v>
      </c>
      <c r="S141" s="60"/>
      <c r="T141" s="60"/>
      <c r="U141" s="60"/>
      <c r="V141" s="60"/>
      <c r="W141" s="61">
        <f>SUM(S141:V141)</f>
        <v>0</v>
      </c>
      <c r="X141" s="60"/>
      <c r="Y141" s="60"/>
      <c r="Z141" s="60"/>
      <c r="AA141" s="60"/>
      <c r="AB141" s="61">
        <f>SUM(X141:AA141)</f>
        <v>0</v>
      </c>
      <c r="AC141" s="60"/>
      <c r="AD141" s="60"/>
      <c r="AE141" s="60"/>
      <c r="AF141" s="60"/>
      <c r="AG141" s="61">
        <f>SUM(AC141:AF141)</f>
        <v>0</v>
      </c>
      <c r="AH141" s="60"/>
      <c r="AI141" s="60"/>
      <c r="AJ141" s="60"/>
      <c r="AK141" s="60"/>
      <c r="AL141" s="61">
        <f>SUM(AH141:AK141)</f>
        <v>0</v>
      </c>
      <c r="AM141" s="68">
        <f t="shared" si="32"/>
        <v>0</v>
      </c>
    </row>
    <row r="142" spans="1:39" hidden="1" x14ac:dyDescent="0.35">
      <c r="A142" s="111"/>
      <c r="B142" s="54"/>
      <c r="C142" s="63" t="s">
        <v>235</v>
      </c>
      <c r="D142" s="63"/>
      <c r="E142" s="63"/>
      <c r="F142" s="63"/>
      <c r="G142" s="63"/>
      <c r="H142" s="61">
        <f>SUM(D142:G142)</f>
        <v>0</v>
      </c>
      <c r="I142" s="63"/>
      <c r="J142" s="63"/>
      <c r="K142" s="63"/>
      <c r="L142" s="63"/>
      <c r="M142" s="61">
        <f>SUM(I142:L142)</f>
        <v>0</v>
      </c>
      <c r="N142" s="63"/>
      <c r="O142" s="63"/>
      <c r="P142" s="63"/>
      <c r="Q142" s="63"/>
      <c r="R142" s="61">
        <f>SUM(N142:Q142)</f>
        <v>0</v>
      </c>
      <c r="S142" s="63"/>
      <c r="T142" s="63"/>
      <c r="U142" s="63"/>
      <c r="V142" s="63"/>
      <c r="W142" s="61">
        <f>SUM(S142:V142)</f>
        <v>0</v>
      </c>
      <c r="X142" s="63"/>
      <c r="Y142" s="63"/>
      <c r="Z142" s="63"/>
      <c r="AA142" s="63"/>
      <c r="AB142" s="61">
        <f>SUM(X142:AA142)</f>
        <v>0</v>
      </c>
      <c r="AC142" s="63"/>
      <c r="AD142" s="63"/>
      <c r="AE142" s="63"/>
      <c r="AF142" s="63"/>
      <c r="AG142" s="61">
        <f>SUM(AC142:AF142)</f>
        <v>0</v>
      </c>
      <c r="AH142" s="63"/>
      <c r="AI142" s="63"/>
      <c r="AJ142" s="63"/>
      <c r="AK142" s="63"/>
      <c r="AL142" s="61">
        <f>SUM(AH142:AK142)</f>
        <v>0</v>
      </c>
      <c r="AM142" s="68">
        <f t="shared" si="32"/>
        <v>0</v>
      </c>
    </row>
    <row r="143" spans="1:39" hidden="1" x14ac:dyDescent="0.35">
      <c r="A143" s="76" t="s">
        <v>288</v>
      </c>
      <c r="B143" s="67"/>
      <c r="C143" s="66"/>
      <c r="D143" s="66">
        <f t="shared" ref="D143:AL143" si="34">SUM(D139:D142)</f>
        <v>5</v>
      </c>
      <c r="E143" s="66">
        <f t="shared" si="34"/>
        <v>2</v>
      </c>
      <c r="F143" s="66">
        <f t="shared" si="34"/>
        <v>0</v>
      </c>
      <c r="G143" s="66">
        <f t="shared" si="34"/>
        <v>0</v>
      </c>
      <c r="H143" s="61">
        <f t="shared" si="34"/>
        <v>7</v>
      </c>
      <c r="I143" s="66">
        <f t="shared" si="34"/>
        <v>0</v>
      </c>
      <c r="J143" s="66">
        <f t="shared" si="34"/>
        <v>0</v>
      </c>
      <c r="K143" s="66">
        <f t="shared" si="34"/>
        <v>0</v>
      </c>
      <c r="L143" s="66">
        <f t="shared" si="34"/>
        <v>0</v>
      </c>
      <c r="M143" s="61">
        <f t="shared" si="34"/>
        <v>0</v>
      </c>
      <c r="N143" s="66">
        <f t="shared" si="34"/>
        <v>1</v>
      </c>
      <c r="O143" s="66">
        <f t="shared" si="34"/>
        <v>0</v>
      </c>
      <c r="P143" s="66">
        <f t="shared" si="34"/>
        <v>0</v>
      </c>
      <c r="Q143" s="66">
        <f t="shared" si="34"/>
        <v>0</v>
      </c>
      <c r="R143" s="61">
        <f t="shared" si="34"/>
        <v>1</v>
      </c>
      <c r="S143" s="66">
        <f t="shared" si="34"/>
        <v>1</v>
      </c>
      <c r="T143" s="66">
        <f t="shared" si="34"/>
        <v>0</v>
      </c>
      <c r="U143" s="66">
        <f t="shared" si="34"/>
        <v>0</v>
      </c>
      <c r="V143" s="66">
        <f t="shared" si="34"/>
        <v>0</v>
      </c>
      <c r="W143" s="61">
        <f t="shared" si="34"/>
        <v>1</v>
      </c>
      <c r="X143" s="66">
        <f t="shared" si="34"/>
        <v>0</v>
      </c>
      <c r="Y143" s="66">
        <f t="shared" si="34"/>
        <v>0</v>
      </c>
      <c r="Z143" s="66">
        <f t="shared" si="34"/>
        <v>0</v>
      </c>
      <c r="AA143" s="66">
        <f t="shared" si="34"/>
        <v>0</v>
      </c>
      <c r="AB143" s="61">
        <f t="shared" si="34"/>
        <v>0</v>
      </c>
      <c r="AC143" s="66">
        <f t="shared" si="34"/>
        <v>0</v>
      </c>
      <c r="AD143" s="66">
        <f t="shared" si="34"/>
        <v>0</v>
      </c>
      <c r="AE143" s="66">
        <f t="shared" si="34"/>
        <v>0</v>
      </c>
      <c r="AF143" s="66">
        <f t="shared" si="34"/>
        <v>0</v>
      </c>
      <c r="AG143" s="61">
        <f t="shared" si="34"/>
        <v>0</v>
      </c>
      <c r="AH143" s="66">
        <f t="shared" si="34"/>
        <v>0</v>
      </c>
      <c r="AI143" s="66">
        <f t="shared" si="34"/>
        <v>0</v>
      </c>
      <c r="AJ143" s="66">
        <f t="shared" si="34"/>
        <v>0</v>
      </c>
      <c r="AK143" s="66">
        <f t="shared" si="34"/>
        <v>0</v>
      </c>
      <c r="AL143" s="61">
        <f t="shared" si="34"/>
        <v>0</v>
      </c>
      <c r="AM143" s="68">
        <f t="shared" si="32"/>
        <v>9</v>
      </c>
    </row>
    <row r="144" spans="1:39" x14ac:dyDescent="0.35">
      <c r="A144" s="66" t="s">
        <v>285</v>
      </c>
      <c r="B144" s="67">
        <v>21</v>
      </c>
      <c r="C144" s="66"/>
      <c r="D144" s="66">
        <f t="shared" ref="D144:AL144" si="35">SUM(D143,D138)</f>
        <v>5</v>
      </c>
      <c r="E144" s="66">
        <f t="shared" si="35"/>
        <v>2</v>
      </c>
      <c r="F144" s="66">
        <f t="shared" si="35"/>
        <v>0</v>
      </c>
      <c r="G144" s="66">
        <f t="shared" si="35"/>
        <v>0</v>
      </c>
      <c r="H144" s="61">
        <f t="shared" si="35"/>
        <v>7</v>
      </c>
      <c r="I144" s="66">
        <f t="shared" si="35"/>
        <v>0</v>
      </c>
      <c r="J144" s="66">
        <f t="shared" si="35"/>
        <v>0</v>
      </c>
      <c r="K144" s="66">
        <f t="shared" si="35"/>
        <v>0</v>
      </c>
      <c r="L144" s="66">
        <f t="shared" si="35"/>
        <v>0</v>
      </c>
      <c r="M144" s="61">
        <f t="shared" si="35"/>
        <v>0</v>
      </c>
      <c r="N144" s="66">
        <f t="shared" si="35"/>
        <v>1</v>
      </c>
      <c r="O144" s="66">
        <f t="shared" si="35"/>
        <v>0</v>
      </c>
      <c r="P144" s="66">
        <f t="shared" si="35"/>
        <v>0</v>
      </c>
      <c r="Q144" s="66">
        <f t="shared" si="35"/>
        <v>0</v>
      </c>
      <c r="R144" s="61">
        <f t="shared" si="35"/>
        <v>1</v>
      </c>
      <c r="S144" s="66">
        <f t="shared" si="35"/>
        <v>1</v>
      </c>
      <c r="T144" s="66">
        <f t="shared" si="35"/>
        <v>0</v>
      </c>
      <c r="U144" s="66">
        <f t="shared" si="35"/>
        <v>0</v>
      </c>
      <c r="V144" s="66">
        <f t="shared" si="35"/>
        <v>0</v>
      </c>
      <c r="W144" s="61">
        <f t="shared" si="35"/>
        <v>1</v>
      </c>
      <c r="X144" s="66">
        <f t="shared" si="35"/>
        <v>0</v>
      </c>
      <c r="Y144" s="66">
        <f t="shared" si="35"/>
        <v>0</v>
      </c>
      <c r="Z144" s="66">
        <f t="shared" si="35"/>
        <v>0</v>
      </c>
      <c r="AA144" s="66">
        <f t="shared" si="35"/>
        <v>0</v>
      </c>
      <c r="AB144" s="61">
        <f t="shared" si="35"/>
        <v>0</v>
      </c>
      <c r="AC144" s="66">
        <f t="shared" si="35"/>
        <v>0</v>
      </c>
      <c r="AD144" s="66">
        <f t="shared" si="35"/>
        <v>0</v>
      </c>
      <c r="AE144" s="66">
        <f t="shared" si="35"/>
        <v>0</v>
      </c>
      <c r="AF144" s="66">
        <f t="shared" si="35"/>
        <v>0</v>
      </c>
      <c r="AG144" s="61">
        <f t="shared" si="35"/>
        <v>0</v>
      </c>
      <c r="AH144" s="66">
        <f t="shared" si="35"/>
        <v>0</v>
      </c>
      <c r="AI144" s="66">
        <f t="shared" si="35"/>
        <v>0</v>
      </c>
      <c r="AJ144" s="66">
        <f t="shared" si="35"/>
        <v>0</v>
      </c>
      <c r="AK144" s="66">
        <f t="shared" si="35"/>
        <v>0</v>
      </c>
      <c r="AL144" s="61">
        <f t="shared" si="35"/>
        <v>0</v>
      </c>
      <c r="AM144" s="68">
        <f t="shared" si="32"/>
        <v>9</v>
      </c>
    </row>
    <row r="145" spans="1:39" hidden="1" x14ac:dyDescent="0.35">
      <c r="A145" s="59" t="s">
        <v>289</v>
      </c>
      <c r="B145" s="54" t="s">
        <v>290</v>
      </c>
      <c r="C145" s="60" t="s">
        <v>225</v>
      </c>
      <c r="D145" s="60">
        <v>1</v>
      </c>
      <c r="E145" s="60"/>
      <c r="F145" s="60"/>
      <c r="G145" s="60"/>
      <c r="H145" s="61">
        <f>SUM(D145:G145)</f>
        <v>1</v>
      </c>
      <c r="I145" s="60">
        <v>1</v>
      </c>
      <c r="J145" s="60"/>
      <c r="K145" s="60"/>
      <c r="L145" s="60"/>
      <c r="M145" s="61">
        <f>SUM(I145:L145)</f>
        <v>1</v>
      </c>
      <c r="N145" s="60"/>
      <c r="O145" s="60"/>
      <c r="P145" s="60"/>
      <c r="Q145" s="60"/>
      <c r="R145" s="61">
        <f>SUM(N145:Q145)</f>
        <v>0</v>
      </c>
      <c r="S145" s="60"/>
      <c r="T145" s="60"/>
      <c r="U145" s="60"/>
      <c r="V145" s="60"/>
      <c r="W145" s="61">
        <f>SUM(S145:V145)</f>
        <v>0</v>
      </c>
      <c r="X145" s="60"/>
      <c r="Y145" s="60"/>
      <c r="Z145" s="60"/>
      <c r="AA145" s="60"/>
      <c r="AB145" s="61">
        <f>SUM(X145:AA145)</f>
        <v>0</v>
      </c>
      <c r="AC145" s="60">
        <v>1</v>
      </c>
      <c r="AD145" s="60"/>
      <c r="AE145" s="60"/>
      <c r="AF145" s="60"/>
      <c r="AG145" s="61">
        <f>SUM(AC145:AF145)</f>
        <v>1</v>
      </c>
      <c r="AH145" s="60">
        <v>2</v>
      </c>
      <c r="AI145" s="60"/>
      <c r="AJ145" s="60"/>
      <c r="AK145" s="60"/>
      <c r="AL145" s="61">
        <f>SUM(AH145:AK145)</f>
        <v>2</v>
      </c>
      <c r="AM145" s="68">
        <f t="shared" si="32"/>
        <v>5</v>
      </c>
    </row>
    <row r="146" spans="1:39" hidden="1" x14ac:dyDescent="0.35">
      <c r="A146" s="111" t="s">
        <v>291</v>
      </c>
      <c r="B146" s="54"/>
      <c r="C146" s="63" t="s">
        <v>227</v>
      </c>
      <c r="D146" s="63"/>
      <c r="E146" s="63"/>
      <c r="F146" s="63"/>
      <c r="G146" s="63"/>
      <c r="H146" s="61">
        <f>SUM(D146:G146)</f>
        <v>0</v>
      </c>
      <c r="I146" s="63"/>
      <c r="J146" s="63"/>
      <c r="K146" s="63"/>
      <c r="L146" s="63"/>
      <c r="M146" s="61">
        <f>SUM(I146:L146)</f>
        <v>0</v>
      </c>
      <c r="N146" s="63">
        <v>2</v>
      </c>
      <c r="O146" s="63"/>
      <c r="P146" s="63"/>
      <c r="Q146" s="63"/>
      <c r="R146" s="61">
        <f>SUM(N146:Q146)</f>
        <v>2</v>
      </c>
      <c r="S146" s="63"/>
      <c r="T146" s="63"/>
      <c r="U146" s="63"/>
      <c r="V146" s="63"/>
      <c r="W146" s="61">
        <f>SUM(S146:V146)</f>
        <v>0</v>
      </c>
      <c r="X146" s="63"/>
      <c r="Y146" s="63"/>
      <c r="Z146" s="63"/>
      <c r="AA146" s="63"/>
      <c r="AB146" s="61">
        <f>SUM(X146:AA146)</f>
        <v>0</v>
      </c>
      <c r="AC146" s="63"/>
      <c r="AD146" s="63"/>
      <c r="AE146" s="63"/>
      <c r="AF146" s="63"/>
      <c r="AG146" s="61">
        <f>SUM(AC146:AF146)</f>
        <v>0</v>
      </c>
      <c r="AH146" s="63"/>
      <c r="AI146" s="63"/>
      <c r="AJ146" s="63"/>
      <c r="AK146" s="63"/>
      <c r="AL146" s="61">
        <f>SUM(AH146:AK146)</f>
        <v>0</v>
      </c>
      <c r="AM146" s="68">
        <f t="shared" si="32"/>
        <v>2</v>
      </c>
    </row>
    <row r="147" spans="1:39" hidden="1" x14ac:dyDescent="0.35">
      <c r="A147" s="111"/>
      <c r="B147" s="54"/>
      <c r="C147" s="60" t="s">
        <v>228</v>
      </c>
      <c r="D147" s="60"/>
      <c r="E147" s="60"/>
      <c r="F147" s="60"/>
      <c r="G147" s="60"/>
      <c r="H147" s="61">
        <f>SUM(D147:G147)</f>
        <v>0</v>
      </c>
      <c r="I147" s="60"/>
      <c r="J147" s="60"/>
      <c r="K147" s="60"/>
      <c r="L147" s="60"/>
      <c r="M147" s="61">
        <f>SUM(I147:L147)</f>
        <v>0</v>
      </c>
      <c r="N147" s="60"/>
      <c r="O147" s="60"/>
      <c r="P147" s="60"/>
      <c r="Q147" s="60"/>
      <c r="R147" s="61">
        <f>SUM(N147:Q147)</f>
        <v>0</v>
      </c>
      <c r="S147" s="60"/>
      <c r="T147" s="60"/>
      <c r="U147" s="60"/>
      <c r="V147" s="60"/>
      <c r="W147" s="61">
        <f>SUM(S147:V147)</f>
        <v>0</v>
      </c>
      <c r="X147" s="60"/>
      <c r="Y147" s="60"/>
      <c r="Z147" s="60"/>
      <c r="AA147" s="60"/>
      <c r="AB147" s="61">
        <f>SUM(X147:AA147)</f>
        <v>0</v>
      </c>
      <c r="AC147" s="60"/>
      <c r="AD147" s="60"/>
      <c r="AE147" s="60"/>
      <c r="AF147" s="60"/>
      <c r="AG147" s="61">
        <f>SUM(AC147:AF147)</f>
        <v>0</v>
      </c>
      <c r="AH147" s="60"/>
      <c r="AI147" s="60"/>
      <c r="AJ147" s="60"/>
      <c r="AK147" s="60"/>
      <c r="AL147" s="61">
        <f>SUM(AH147:AK147)</f>
        <v>0</v>
      </c>
      <c r="AM147" s="68">
        <f t="shared" si="32"/>
        <v>0</v>
      </c>
    </row>
    <row r="148" spans="1:39" hidden="1" x14ac:dyDescent="0.35">
      <c r="A148" s="111"/>
      <c r="B148" s="54"/>
      <c r="C148" s="63" t="s">
        <v>235</v>
      </c>
      <c r="D148" s="63"/>
      <c r="E148" s="63"/>
      <c r="F148" s="63"/>
      <c r="G148" s="63"/>
      <c r="H148" s="61">
        <f>SUM(D148:G148)</f>
        <v>0</v>
      </c>
      <c r="I148" s="63"/>
      <c r="J148" s="63"/>
      <c r="K148" s="63"/>
      <c r="L148" s="63"/>
      <c r="M148" s="61">
        <f>SUM(I148:L148)</f>
        <v>0</v>
      </c>
      <c r="N148" s="63">
        <v>1</v>
      </c>
      <c r="O148" s="63"/>
      <c r="P148" s="63"/>
      <c r="Q148" s="63"/>
      <c r="R148" s="61">
        <f>SUM(N148:Q148)</f>
        <v>1</v>
      </c>
      <c r="S148" s="63"/>
      <c r="T148" s="63"/>
      <c r="U148" s="63"/>
      <c r="V148" s="63"/>
      <c r="W148" s="61">
        <f>SUM(S148:V148)</f>
        <v>0</v>
      </c>
      <c r="X148" s="63"/>
      <c r="Y148" s="63"/>
      <c r="Z148" s="63"/>
      <c r="AA148" s="63"/>
      <c r="AB148" s="61">
        <f>SUM(X148:AA148)</f>
        <v>0</v>
      </c>
      <c r="AC148" s="63"/>
      <c r="AD148" s="63"/>
      <c r="AE148" s="63"/>
      <c r="AF148" s="63"/>
      <c r="AG148" s="61">
        <f>SUM(AC148:AF148)</f>
        <v>0</v>
      </c>
      <c r="AH148" s="63">
        <v>1</v>
      </c>
      <c r="AI148" s="63"/>
      <c r="AJ148" s="63"/>
      <c r="AK148" s="63"/>
      <c r="AL148" s="61">
        <f>SUM(AH148:AK148)</f>
        <v>1</v>
      </c>
      <c r="AM148" s="68">
        <f t="shared" si="32"/>
        <v>2</v>
      </c>
    </row>
    <row r="149" spans="1:39" x14ac:dyDescent="0.35">
      <c r="A149" s="66" t="s">
        <v>289</v>
      </c>
      <c r="B149" s="67" t="s">
        <v>290</v>
      </c>
      <c r="C149" s="66"/>
      <c r="D149" s="66">
        <f t="shared" ref="D149:AL149" si="36">SUM(D145:D148)</f>
        <v>1</v>
      </c>
      <c r="E149" s="66">
        <f t="shared" si="36"/>
        <v>0</v>
      </c>
      <c r="F149" s="66">
        <f t="shared" si="36"/>
        <v>0</v>
      </c>
      <c r="G149" s="66">
        <f t="shared" si="36"/>
        <v>0</v>
      </c>
      <c r="H149" s="61">
        <f t="shared" si="36"/>
        <v>1</v>
      </c>
      <c r="I149" s="66">
        <f t="shared" si="36"/>
        <v>1</v>
      </c>
      <c r="J149" s="66">
        <f t="shared" si="36"/>
        <v>0</v>
      </c>
      <c r="K149" s="66">
        <f t="shared" si="36"/>
        <v>0</v>
      </c>
      <c r="L149" s="66">
        <f t="shared" si="36"/>
        <v>0</v>
      </c>
      <c r="M149" s="61">
        <f t="shared" si="36"/>
        <v>1</v>
      </c>
      <c r="N149" s="66">
        <f t="shared" si="36"/>
        <v>3</v>
      </c>
      <c r="O149" s="66">
        <f t="shared" si="36"/>
        <v>0</v>
      </c>
      <c r="P149" s="66">
        <f t="shared" si="36"/>
        <v>0</v>
      </c>
      <c r="Q149" s="66">
        <f t="shared" si="36"/>
        <v>0</v>
      </c>
      <c r="R149" s="61">
        <f t="shared" si="36"/>
        <v>3</v>
      </c>
      <c r="S149" s="66">
        <f t="shared" si="36"/>
        <v>0</v>
      </c>
      <c r="T149" s="66">
        <f t="shared" si="36"/>
        <v>0</v>
      </c>
      <c r="U149" s="66">
        <f t="shared" si="36"/>
        <v>0</v>
      </c>
      <c r="V149" s="66">
        <f t="shared" si="36"/>
        <v>0</v>
      </c>
      <c r="W149" s="61">
        <f t="shared" si="36"/>
        <v>0</v>
      </c>
      <c r="X149" s="66">
        <f t="shared" si="36"/>
        <v>0</v>
      </c>
      <c r="Y149" s="66">
        <f t="shared" si="36"/>
        <v>0</v>
      </c>
      <c r="Z149" s="66">
        <f t="shared" si="36"/>
        <v>0</v>
      </c>
      <c r="AA149" s="66">
        <f t="shared" si="36"/>
        <v>0</v>
      </c>
      <c r="AB149" s="61">
        <f t="shared" si="36"/>
        <v>0</v>
      </c>
      <c r="AC149" s="66">
        <f t="shared" si="36"/>
        <v>1</v>
      </c>
      <c r="AD149" s="66">
        <f t="shared" si="36"/>
        <v>0</v>
      </c>
      <c r="AE149" s="66">
        <f t="shared" si="36"/>
        <v>0</v>
      </c>
      <c r="AF149" s="66">
        <f t="shared" si="36"/>
        <v>0</v>
      </c>
      <c r="AG149" s="61">
        <f t="shared" si="36"/>
        <v>1</v>
      </c>
      <c r="AH149" s="66">
        <f t="shared" si="36"/>
        <v>3</v>
      </c>
      <c r="AI149" s="66">
        <f t="shared" si="36"/>
        <v>0</v>
      </c>
      <c r="AJ149" s="66">
        <f t="shared" si="36"/>
        <v>0</v>
      </c>
      <c r="AK149" s="66">
        <f t="shared" si="36"/>
        <v>0</v>
      </c>
      <c r="AL149" s="61">
        <f t="shared" si="36"/>
        <v>3</v>
      </c>
      <c r="AM149" s="68">
        <f t="shared" si="32"/>
        <v>9</v>
      </c>
    </row>
    <row r="150" spans="1:39" hidden="1" x14ac:dyDescent="0.35">
      <c r="A150" s="59" t="s">
        <v>292</v>
      </c>
      <c r="B150" s="54" t="s">
        <v>293</v>
      </c>
      <c r="C150" s="60" t="s">
        <v>225</v>
      </c>
      <c r="D150" s="60">
        <v>6</v>
      </c>
      <c r="E150" s="60"/>
      <c r="F150" s="60"/>
      <c r="G150" s="60"/>
      <c r="H150" s="61">
        <f>SUM(D150:G150)</f>
        <v>6</v>
      </c>
      <c r="I150" s="60"/>
      <c r="J150" s="60"/>
      <c r="K150" s="60"/>
      <c r="L150" s="60"/>
      <c r="M150" s="61">
        <f>SUM(I150:L150)</f>
        <v>0</v>
      </c>
      <c r="N150" s="60">
        <v>1</v>
      </c>
      <c r="O150" s="60"/>
      <c r="P150" s="60"/>
      <c r="Q150" s="60"/>
      <c r="R150" s="61">
        <f>SUM(N150:Q150)</f>
        <v>1</v>
      </c>
      <c r="S150" s="60"/>
      <c r="T150" s="60"/>
      <c r="U150" s="60"/>
      <c r="V150" s="60"/>
      <c r="W150" s="61">
        <f>SUM(S150:V150)</f>
        <v>0</v>
      </c>
      <c r="X150" s="60"/>
      <c r="Y150" s="60"/>
      <c r="Z150" s="60"/>
      <c r="AA150" s="60"/>
      <c r="AB150" s="61">
        <f>SUM(X150:AA150)</f>
        <v>0</v>
      </c>
      <c r="AC150" s="60">
        <v>1</v>
      </c>
      <c r="AD150" s="60"/>
      <c r="AE150" s="60"/>
      <c r="AF150" s="60"/>
      <c r="AG150" s="61">
        <f>SUM(AC150:AF150)</f>
        <v>1</v>
      </c>
      <c r="AH150" s="60"/>
      <c r="AI150" s="60"/>
      <c r="AJ150" s="60"/>
      <c r="AK150" s="60"/>
      <c r="AL150" s="61">
        <f>SUM(AH150:AK150)</f>
        <v>0</v>
      </c>
      <c r="AM150" s="68">
        <f t="shared" si="32"/>
        <v>8</v>
      </c>
    </row>
    <row r="151" spans="1:39" hidden="1" x14ac:dyDescent="0.35">
      <c r="A151" s="111" t="s">
        <v>267</v>
      </c>
      <c r="B151" s="54"/>
      <c r="C151" s="63" t="s">
        <v>227</v>
      </c>
      <c r="D151" s="63">
        <v>10</v>
      </c>
      <c r="E151" s="63"/>
      <c r="F151" s="63"/>
      <c r="G151" s="63"/>
      <c r="H151" s="61">
        <f>SUM(D151:G151)</f>
        <v>10</v>
      </c>
      <c r="I151" s="63"/>
      <c r="J151" s="63"/>
      <c r="K151" s="63"/>
      <c r="L151" s="63"/>
      <c r="M151" s="61">
        <f>SUM(I151:L151)</f>
        <v>0</v>
      </c>
      <c r="N151" s="63">
        <v>1</v>
      </c>
      <c r="O151" s="63"/>
      <c r="P151" s="63"/>
      <c r="Q151" s="63"/>
      <c r="R151" s="61">
        <f>SUM(N151:Q151)</f>
        <v>1</v>
      </c>
      <c r="S151" s="63"/>
      <c r="T151" s="63"/>
      <c r="U151" s="63"/>
      <c r="V151" s="63"/>
      <c r="W151" s="61">
        <f>SUM(S151:V151)</f>
        <v>0</v>
      </c>
      <c r="X151" s="63"/>
      <c r="Y151" s="63"/>
      <c r="Z151" s="63"/>
      <c r="AA151" s="63"/>
      <c r="AB151" s="61">
        <f>SUM(X151:AA151)</f>
        <v>0</v>
      </c>
      <c r="AC151" s="63"/>
      <c r="AD151" s="63"/>
      <c r="AE151" s="63"/>
      <c r="AF151" s="63"/>
      <c r="AG151" s="61">
        <f>SUM(AC151:AF151)</f>
        <v>0</v>
      </c>
      <c r="AH151" s="63"/>
      <c r="AI151" s="63"/>
      <c r="AJ151" s="63"/>
      <c r="AK151" s="63"/>
      <c r="AL151" s="61">
        <f>SUM(AH151:AK151)</f>
        <v>0</v>
      </c>
      <c r="AM151" s="68">
        <f t="shared" si="32"/>
        <v>11</v>
      </c>
    </row>
    <row r="152" spans="1:39" hidden="1" x14ac:dyDescent="0.35">
      <c r="A152" s="111"/>
      <c r="B152" s="54"/>
      <c r="C152" s="60" t="s">
        <v>228</v>
      </c>
      <c r="D152" s="60">
        <v>7</v>
      </c>
      <c r="E152" s="60"/>
      <c r="F152" s="60"/>
      <c r="G152" s="60"/>
      <c r="H152" s="61">
        <f>SUM(D152:G152)</f>
        <v>7</v>
      </c>
      <c r="I152" s="60"/>
      <c r="J152" s="60"/>
      <c r="K152" s="60"/>
      <c r="L152" s="60"/>
      <c r="M152" s="61">
        <f>SUM(I152:L152)</f>
        <v>0</v>
      </c>
      <c r="N152" s="60"/>
      <c r="O152" s="60"/>
      <c r="P152" s="60"/>
      <c r="Q152" s="60"/>
      <c r="R152" s="61">
        <f>SUM(N152:Q152)</f>
        <v>0</v>
      </c>
      <c r="S152" s="60"/>
      <c r="T152" s="60"/>
      <c r="U152" s="60"/>
      <c r="V152" s="60"/>
      <c r="W152" s="61">
        <f>SUM(S152:V152)</f>
        <v>0</v>
      </c>
      <c r="X152" s="60">
        <v>1</v>
      </c>
      <c r="Y152" s="60"/>
      <c r="Z152" s="60"/>
      <c r="AA152" s="60"/>
      <c r="AB152" s="61">
        <f>SUM(X152:AA152)</f>
        <v>1</v>
      </c>
      <c r="AC152" s="60"/>
      <c r="AD152" s="60"/>
      <c r="AE152" s="60"/>
      <c r="AF152" s="60"/>
      <c r="AG152" s="61">
        <f>SUM(AC152:AF152)</f>
        <v>0</v>
      </c>
      <c r="AH152" s="60"/>
      <c r="AI152" s="60"/>
      <c r="AJ152" s="60"/>
      <c r="AK152" s="60"/>
      <c r="AL152" s="61">
        <f>SUM(AH152:AK152)</f>
        <v>0</v>
      </c>
      <c r="AM152" s="68">
        <f t="shared" si="32"/>
        <v>8</v>
      </c>
    </row>
    <row r="153" spans="1:39" hidden="1" x14ac:dyDescent="0.35">
      <c r="A153" s="111"/>
      <c r="B153" s="54"/>
      <c r="C153" s="63" t="s">
        <v>235</v>
      </c>
      <c r="D153" s="63">
        <v>3</v>
      </c>
      <c r="E153" s="63"/>
      <c r="F153" s="63"/>
      <c r="G153" s="63"/>
      <c r="H153" s="61">
        <f>SUM(D153:G153)</f>
        <v>3</v>
      </c>
      <c r="I153" s="63"/>
      <c r="J153" s="63"/>
      <c r="K153" s="63"/>
      <c r="L153" s="63"/>
      <c r="M153" s="61">
        <f>SUM(I153:L153)</f>
        <v>0</v>
      </c>
      <c r="N153" s="63"/>
      <c r="O153" s="63"/>
      <c r="P153" s="63"/>
      <c r="Q153" s="63"/>
      <c r="R153" s="61">
        <f>SUM(N153:Q153)</f>
        <v>0</v>
      </c>
      <c r="S153" s="63">
        <v>1</v>
      </c>
      <c r="T153" s="63"/>
      <c r="U153" s="63"/>
      <c r="V153" s="63"/>
      <c r="W153" s="61">
        <f>SUM(S153:V153)</f>
        <v>1</v>
      </c>
      <c r="X153" s="63"/>
      <c r="Y153" s="63"/>
      <c r="Z153" s="63"/>
      <c r="AA153" s="63"/>
      <c r="AB153" s="61">
        <f>SUM(X153:AA153)</f>
        <v>0</v>
      </c>
      <c r="AC153" s="63"/>
      <c r="AD153" s="63"/>
      <c r="AE153" s="63"/>
      <c r="AF153" s="63"/>
      <c r="AG153" s="61">
        <f>SUM(AC153:AF153)</f>
        <v>0</v>
      </c>
      <c r="AH153" s="63"/>
      <c r="AI153" s="63"/>
      <c r="AJ153" s="63"/>
      <c r="AK153" s="63"/>
      <c r="AL153" s="61">
        <f>SUM(AH153:AK153)</f>
        <v>0</v>
      </c>
      <c r="AM153" s="68">
        <f t="shared" si="32"/>
        <v>4</v>
      </c>
    </row>
    <row r="154" spans="1:39" x14ac:dyDescent="0.35">
      <c r="A154" s="66" t="s">
        <v>292</v>
      </c>
      <c r="B154" s="67" t="s">
        <v>293</v>
      </c>
      <c r="C154" s="66"/>
      <c r="D154" s="66">
        <f t="shared" ref="D154:AL154" si="37">SUM(D150:D153)</f>
        <v>26</v>
      </c>
      <c r="E154" s="66">
        <f t="shared" si="37"/>
        <v>0</v>
      </c>
      <c r="F154" s="66">
        <f t="shared" si="37"/>
        <v>0</v>
      </c>
      <c r="G154" s="66">
        <f t="shared" si="37"/>
        <v>0</v>
      </c>
      <c r="H154" s="61">
        <f t="shared" si="37"/>
        <v>26</v>
      </c>
      <c r="I154" s="66">
        <f t="shared" si="37"/>
        <v>0</v>
      </c>
      <c r="J154" s="66">
        <f t="shared" si="37"/>
        <v>0</v>
      </c>
      <c r="K154" s="66">
        <f t="shared" si="37"/>
        <v>0</v>
      </c>
      <c r="L154" s="66">
        <f t="shared" si="37"/>
        <v>0</v>
      </c>
      <c r="M154" s="61">
        <f t="shared" si="37"/>
        <v>0</v>
      </c>
      <c r="N154" s="66">
        <f t="shared" si="37"/>
        <v>2</v>
      </c>
      <c r="O154" s="66">
        <f t="shared" si="37"/>
        <v>0</v>
      </c>
      <c r="P154" s="66">
        <f t="shared" si="37"/>
        <v>0</v>
      </c>
      <c r="Q154" s="66">
        <f t="shared" si="37"/>
        <v>0</v>
      </c>
      <c r="R154" s="61">
        <f t="shared" si="37"/>
        <v>2</v>
      </c>
      <c r="S154" s="66">
        <f t="shared" si="37"/>
        <v>1</v>
      </c>
      <c r="T154" s="66">
        <f t="shared" si="37"/>
        <v>0</v>
      </c>
      <c r="U154" s="66">
        <f t="shared" si="37"/>
        <v>0</v>
      </c>
      <c r="V154" s="66">
        <f t="shared" si="37"/>
        <v>0</v>
      </c>
      <c r="W154" s="61">
        <f t="shared" si="37"/>
        <v>1</v>
      </c>
      <c r="X154" s="66">
        <f t="shared" si="37"/>
        <v>1</v>
      </c>
      <c r="Y154" s="66">
        <f t="shared" si="37"/>
        <v>0</v>
      </c>
      <c r="Z154" s="66">
        <f t="shared" si="37"/>
        <v>0</v>
      </c>
      <c r="AA154" s="66">
        <f t="shared" si="37"/>
        <v>0</v>
      </c>
      <c r="AB154" s="61">
        <f t="shared" si="37"/>
        <v>1</v>
      </c>
      <c r="AC154" s="66">
        <f t="shared" si="37"/>
        <v>1</v>
      </c>
      <c r="AD154" s="66">
        <f t="shared" si="37"/>
        <v>0</v>
      </c>
      <c r="AE154" s="66">
        <f t="shared" si="37"/>
        <v>0</v>
      </c>
      <c r="AF154" s="66">
        <f t="shared" si="37"/>
        <v>0</v>
      </c>
      <c r="AG154" s="61">
        <f t="shared" si="37"/>
        <v>1</v>
      </c>
      <c r="AH154" s="66">
        <f t="shared" si="37"/>
        <v>0</v>
      </c>
      <c r="AI154" s="66">
        <f t="shared" si="37"/>
        <v>0</v>
      </c>
      <c r="AJ154" s="66">
        <f t="shared" si="37"/>
        <v>0</v>
      </c>
      <c r="AK154" s="66">
        <f t="shared" si="37"/>
        <v>0</v>
      </c>
      <c r="AL154" s="61">
        <f t="shared" si="37"/>
        <v>0</v>
      </c>
      <c r="AM154" s="68">
        <f t="shared" si="32"/>
        <v>31</v>
      </c>
    </row>
    <row r="155" spans="1:39" hidden="1" x14ac:dyDescent="0.35">
      <c r="A155" s="59" t="s">
        <v>294</v>
      </c>
      <c r="B155" s="54">
        <v>30</v>
      </c>
      <c r="C155" s="60" t="s">
        <v>225</v>
      </c>
      <c r="D155" s="60"/>
      <c r="E155" s="60"/>
      <c r="F155" s="60"/>
      <c r="G155" s="60"/>
      <c r="H155" s="61">
        <f>SUM(D155:G155)</f>
        <v>0</v>
      </c>
      <c r="I155" s="60"/>
      <c r="J155" s="60"/>
      <c r="K155" s="60"/>
      <c r="L155" s="60"/>
      <c r="M155" s="61">
        <f>SUM(I155:L155)</f>
        <v>0</v>
      </c>
      <c r="N155" s="60"/>
      <c r="O155" s="60"/>
      <c r="P155" s="60"/>
      <c r="Q155" s="60"/>
      <c r="R155" s="61">
        <f>SUM(N155:Q155)</f>
        <v>0</v>
      </c>
      <c r="S155" s="60"/>
      <c r="T155" s="60"/>
      <c r="U155" s="60"/>
      <c r="V155" s="60"/>
      <c r="W155" s="61">
        <f>SUM(S155:V155)</f>
        <v>0</v>
      </c>
      <c r="X155" s="60"/>
      <c r="Y155" s="60"/>
      <c r="Z155" s="60"/>
      <c r="AA155" s="60"/>
      <c r="AB155" s="61">
        <f>SUM(X155:AA155)</f>
        <v>0</v>
      </c>
      <c r="AC155" s="60"/>
      <c r="AD155" s="60"/>
      <c r="AE155" s="60"/>
      <c r="AF155" s="60"/>
      <c r="AG155" s="61">
        <f>SUM(AC155:AF155)</f>
        <v>0</v>
      </c>
      <c r="AH155" s="60"/>
      <c r="AI155" s="60"/>
      <c r="AJ155" s="60"/>
      <c r="AK155" s="60"/>
      <c r="AL155" s="61">
        <f>SUM(AH155:AK155)</f>
        <v>0</v>
      </c>
      <c r="AM155" s="68">
        <f t="shared" si="32"/>
        <v>0</v>
      </c>
    </row>
    <row r="156" spans="1:39" hidden="1" x14ac:dyDescent="0.35">
      <c r="A156" s="111" t="s">
        <v>263</v>
      </c>
      <c r="B156" s="54"/>
      <c r="C156" s="63" t="s">
        <v>227</v>
      </c>
      <c r="D156" s="63"/>
      <c r="E156" s="63"/>
      <c r="F156" s="63"/>
      <c r="G156" s="63"/>
      <c r="H156" s="61">
        <f>SUM(D156:G156)</f>
        <v>0</v>
      </c>
      <c r="I156" s="63"/>
      <c r="J156" s="63"/>
      <c r="K156" s="63"/>
      <c r="L156" s="63"/>
      <c r="M156" s="61">
        <f>SUM(I156:L156)</f>
        <v>0</v>
      </c>
      <c r="N156" s="63"/>
      <c r="O156" s="63"/>
      <c r="P156" s="63"/>
      <c r="Q156" s="63"/>
      <c r="R156" s="61">
        <f>SUM(N156:Q156)</f>
        <v>0</v>
      </c>
      <c r="S156" s="63"/>
      <c r="T156" s="63"/>
      <c r="U156" s="63"/>
      <c r="V156" s="63"/>
      <c r="W156" s="61">
        <f>SUM(S156:V156)</f>
        <v>0</v>
      </c>
      <c r="X156" s="63"/>
      <c r="Y156" s="63"/>
      <c r="Z156" s="63"/>
      <c r="AA156" s="63"/>
      <c r="AB156" s="61">
        <f>SUM(X156:AA156)</f>
        <v>0</v>
      </c>
      <c r="AC156" s="63"/>
      <c r="AD156" s="63"/>
      <c r="AE156" s="63"/>
      <c r="AF156" s="63"/>
      <c r="AG156" s="61">
        <f>SUM(AC156:AF156)</f>
        <v>0</v>
      </c>
      <c r="AH156" s="63"/>
      <c r="AI156" s="63"/>
      <c r="AJ156" s="63"/>
      <c r="AK156" s="63"/>
      <c r="AL156" s="61">
        <f>SUM(AH156:AK156)</f>
        <v>0</v>
      </c>
      <c r="AM156" s="68">
        <f t="shared" si="32"/>
        <v>0</v>
      </c>
    </row>
    <row r="157" spans="1:39" hidden="1" x14ac:dyDescent="0.35">
      <c r="A157" s="111"/>
      <c r="B157" s="54"/>
      <c r="C157" s="60" t="s">
        <v>228</v>
      </c>
      <c r="D157" s="60"/>
      <c r="E157" s="60"/>
      <c r="F157" s="60"/>
      <c r="G157" s="60"/>
      <c r="H157" s="61">
        <f>SUM(D157:G157)</f>
        <v>0</v>
      </c>
      <c r="I157" s="60"/>
      <c r="J157" s="60"/>
      <c r="K157" s="60"/>
      <c r="L157" s="60"/>
      <c r="M157" s="61">
        <f>SUM(I157:L157)</f>
        <v>0</v>
      </c>
      <c r="N157" s="60"/>
      <c r="O157" s="60"/>
      <c r="P157" s="60"/>
      <c r="Q157" s="60"/>
      <c r="R157" s="61">
        <f>SUM(N157:Q157)</f>
        <v>0</v>
      </c>
      <c r="S157" s="60"/>
      <c r="T157" s="60"/>
      <c r="U157" s="60"/>
      <c r="V157" s="60"/>
      <c r="W157" s="61">
        <f>SUM(S157:V157)</f>
        <v>0</v>
      </c>
      <c r="X157" s="60"/>
      <c r="Y157" s="60"/>
      <c r="Z157" s="60"/>
      <c r="AA157" s="60"/>
      <c r="AB157" s="61">
        <f>SUM(X157:AA157)</f>
        <v>0</v>
      </c>
      <c r="AC157" s="60"/>
      <c r="AD157" s="60"/>
      <c r="AE157" s="60"/>
      <c r="AF157" s="60"/>
      <c r="AG157" s="61">
        <f>SUM(AC157:AF157)</f>
        <v>0</v>
      </c>
      <c r="AH157" s="60"/>
      <c r="AI157" s="60"/>
      <c r="AJ157" s="60"/>
      <c r="AK157" s="60"/>
      <c r="AL157" s="61">
        <f>SUM(AH157:AK157)</f>
        <v>0</v>
      </c>
      <c r="AM157" s="68">
        <f t="shared" si="32"/>
        <v>0</v>
      </c>
    </row>
    <row r="158" spans="1:39" hidden="1" x14ac:dyDescent="0.35">
      <c r="A158" s="111"/>
      <c r="B158" s="54"/>
      <c r="C158" s="63" t="s">
        <v>235</v>
      </c>
      <c r="D158" s="63"/>
      <c r="E158" s="63"/>
      <c r="F158" s="63"/>
      <c r="G158" s="63"/>
      <c r="H158" s="61">
        <f>SUM(D158:G158)</f>
        <v>0</v>
      </c>
      <c r="I158" s="63"/>
      <c r="J158" s="63"/>
      <c r="K158" s="63"/>
      <c r="L158" s="63"/>
      <c r="M158" s="61">
        <f>SUM(I158:L158)</f>
        <v>0</v>
      </c>
      <c r="N158" s="63"/>
      <c r="O158" s="63"/>
      <c r="P158" s="63"/>
      <c r="Q158" s="63"/>
      <c r="R158" s="61">
        <f>SUM(N158:Q158)</f>
        <v>0</v>
      </c>
      <c r="S158" s="63"/>
      <c r="T158" s="63"/>
      <c r="U158" s="63"/>
      <c r="V158" s="63"/>
      <c r="W158" s="61">
        <f>SUM(S158:V158)</f>
        <v>0</v>
      </c>
      <c r="X158" s="63"/>
      <c r="Y158" s="63"/>
      <c r="Z158" s="63"/>
      <c r="AA158" s="63"/>
      <c r="AB158" s="61">
        <f>SUM(X158:AA158)</f>
        <v>0</v>
      </c>
      <c r="AC158" s="63"/>
      <c r="AD158" s="63"/>
      <c r="AE158" s="63"/>
      <c r="AF158" s="63"/>
      <c r="AG158" s="61">
        <f>SUM(AC158:AF158)</f>
        <v>0</v>
      </c>
      <c r="AH158" s="63"/>
      <c r="AI158" s="63"/>
      <c r="AJ158" s="63"/>
      <c r="AK158" s="63"/>
      <c r="AL158" s="61">
        <f>SUM(AH158:AK158)</f>
        <v>0</v>
      </c>
      <c r="AM158" s="68">
        <f t="shared" si="32"/>
        <v>0</v>
      </c>
    </row>
    <row r="159" spans="1:39" x14ac:dyDescent="0.35">
      <c r="A159" s="66" t="s">
        <v>294</v>
      </c>
      <c r="B159" s="67">
        <v>30</v>
      </c>
      <c r="C159" s="66"/>
      <c r="D159" s="66">
        <f t="shared" ref="D159:AL159" si="38">SUM(D155:D158)</f>
        <v>0</v>
      </c>
      <c r="E159" s="66">
        <f t="shared" si="38"/>
        <v>0</v>
      </c>
      <c r="F159" s="66">
        <f t="shared" si="38"/>
        <v>0</v>
      </c>
      <c r="G159" s="66">
        <f t="shared" si="38"/>
        <v>0</v>
      </c>
      <c r="H159" s="61">
        <f t="shared" si="38"/>
        <v>0</v>
      </c>
      <c r="I159" s="66">
        <f t="shared" si="38"/>
        <v>0</v>
      </c>
      <c r="J159" s="66">
        <f t="shared" si="38"/>
        <v>0</v>
      </c>
      <c r="K159" s="66">
        <f t="shared" si="38"/>
        <v>0</v>
      </c>
      <c r="L159" s="66">
        <f t="shared" si="38"/>
        <v>0</v>
      </c>
      <c r="M159" s="61">
        <f t="shared" si="38"/>
        <v>0</v>
      </c>
      <c r="N159" s="66">
        <f t="shared" si="38"/>
        <v>0</v>
      </c>
      <c r="O159" s="66">
        <f t="shared" si="38"/>
        <v>0</v>
      </c>
      <c r="P159" s="66">
        <f t="shared" si="38"/>
        <v>0</v>
      </c>
      <c r="Q159" s="66">
        <f t="shared" si="38"/>
        <v>0</v>
      </c>
      <c r="R159" s="61">
        <f t="shared" si="38"/>
        <v>0</v>
      </c>
      <c r="S159" s="66">
        <f t="shared" si="38"/>
        <v>0</v>
      </c>
      <c r="T159" s="66">
        <f t="shared" si="38"/>
        <v>0</v>
      </c>
      <c r="U159" s="66">
        <f t="shared" si="38"/>
        <v>0</v>
      </c>
      <c r="V159" s="66">
        <f t="shared" si="38"/>
        <v>0</v>
      </c>
      <c r="W159" s="61">
        <f t="shared" si="38"/>
        <v>0</v>
      </c>
      <c r="X159" s="66">
        <f t="shared" si="38"/>
        <v>0</v>
      </c>
      <c r="Y159" s="66">
        <f t="shared" si="38"/>
        <v>0</v>
      </c>
      <c r="Z159" s="66">
        <f t="shared" si="38"/>
        <v>0</v>
      </c>
      <c r="AA159" s="66">
        <f t="shared" si="38"/>
        <v>0</v>
      </c>
      <c r="AB159" s="61">
        <f t="shared" si="38"/>
        <v>0</v>
      </c>
      <c r="AC159" s="66">
        <f t="shared" si="38"/>
        <v>0</v>
      </c>
      <c r="AD159" s="66">
        <f t="shared" si="38"/>
        <v>0</v>
      </c>
      <c r="AE159" s="66">
        <f t="shared" si="38"/>
        <v>0</v>
      </c>
      <c r="AF159" s="66">
        <f t="shared" si="38"/>
        <v>0</v>
      </c>
      <c r="AG159" s="61">
        <f t="shared" si="38"/>
        <v>0</v>
      </c>
      <c r="AH159" s="66">
        <f t="shared" si="38"/>
        <v>0</v>
      </c>
      <c r="AI159" s="66">
        <f t="shared" si="38"/>
        <v>0</v>
      </c>
      <c r="AJ159" s="66">
        <f t="shared" si="38"/>
        <v>0</v>
      </c>
      <c r="AK159" s="66">
        <f t="shared" si="38"/>
        <v>0</v>
      </c>
      <c r="AL159" s="61">
        <f t="shared" si="38"/>
        <v>0</v>
      </c>
      <c r="AM159" s="68">
        <f t="shared" si="32"/>
        <v>0</v>
      </c>
    </row>
    <row r="160" spans="1:39" hidden="1" x14ac:dyDescent="0.35">
      <c r="A160" s="59" t="s">
        <v>295</v>
      </c>
      <c r="B160" s="54">
        <v>8</v>
      </c>
      <c r="C160" s="60" t="s">
        <v>225</v>
      </c>
      <c r="D160" s="60">
        <v>2</v>
      </c>
      <c r="E160" s="60"/>
      <c r="F160" s="60"/>
      <c r="G160" s="60"/>
      <c r="H160" s="61">
        <f>SUM(D160:G160)</f>
        <v>2</v>
      </c>
      <c r="I160" s="60"/>
      <c r="J160" s="60"/>
      <c r="K160" s="60"/>
      <c r="L160" s="60"/>
      <c r="M160" s="61">
        <f>SUM(I160:L160)</f>
        <v>0</v>
      </c>
      <c r="N160" s="60"/>
      <c r="O160" s="60"/>
      <c r="P160" s="60"/>
      <c r="Q160" s="60"/>
      <c r="R160" s="61">
        <f>SUM(N160:Q160)</f>
        <v>0</v>
      </c>
      <c r="S160" s="60"/>
      <c r="T160" s="60"/>
      <c r="U160" s="60"/>
      <c r="V160" s="60"/>
      <c r="W160" s="61">
        <f>SUM(S160:V160)</f>
        <v>0</v>
      </c>
      <c r="X160" s="60"/>
      <c r="Y160" s="60"/>
      <c r="Z160" s="60"/>
      <c r="AA160" s="60"/>
      <c r="AB160" s="61">
        <f>SUM(X160:AA160)</f>
        <v>0</v>
      </c>
      <c r="AC160" s="60"/>
      <c r="AD160" s="60"/>
      <c r="AE160" s="60"/>
      <c r="AF160" s="60"/>
      <c r="AG160" s="61">
        <f>SUM(AC160:AF160)</f>
        <v>0</v>
      </c>
      <c r="AH160" s="60"/>
      <c r="AI160" s="60"/>
      <c r="AJ160" s="60"/>
      <c r="AK160" s="60"/>
      <c r="AL160" s="61">
        <f>SUM(AH160:AK160)</f>
        <v>0</v>
      </c>
      <c r="AM160" s="68">
        <f t="shared" si="32"/>
        <v>2</v>
      </c>
    </row>
    <row r="161" spans="1:39" hidden="1" x14ac:dyDescent="0.35">
      <c r="A161" s="111" t="s">
        <v>296</v>
      </c>
      <c r="B161" s="54"/>
      <c r="C161" s="63" t="s">
        <v>227</v>
      </c>
      <c r="D161" s="63"/>
      <c r="E161" s="63"/>
      <c r="F161" s="63"/>
      <c r="G161" s="63"/>
      <c r="H161" s="61">
        <f>SUM(D161:G161)</f>
        <v>0</v>
      </c>
      <c r="I161" s="63"/>
      <c r="J161" s="63"/>
      <c r="K161" s="63"/>
      <c r="L161" s="63"/>
      <c r="M161" s="61">
        <f>SUM(I161:L161)</f>
        <v>0</v>
      </c>
      <c r="N161" s="63"/>
      <c r="O161" s="63"/>
      <c r="P161" s="63"/>
      <c r="Q161" s="63"/>
      <c r="R161" s="61">
        <f>SUM(N161:Q161)</f>
        <v>0</v>
      </c>
      <c r="S161" s="63"/>
      <c r="T161" s="63"/>
      <c r="U161" s="63"/>
      <c r="V161" s="63"/>
      <c r="W161" s="61">
        <f>SUM(S161:V161)</f>
        <v>0</v>
      </c>
      <c r="X161" s="63"/>
      <c r="Y161" s="63"/>
      <c r="Z161" s="63"/>
      <c r="AA161" s="63"/>
      <c r="AB161" s="61">
        <f>SUM(X161:AA161)</f>
        <v>0</v>
      </c>
      <c r="AC161" s="63"/>
      <c r="AD161" s="63"/>
      <c r="AE161" s="63"/>
      <c r="AF161" s="63"/>
      <c r="AG161" s="61">
        <f>SUM(AC161:AF161)</f>
        <v>0</v>
      </c>
      <c r="AH161" s="63"/>
      <c r="AI161" s="63"/>
      <c r="AJ161" s="63"/>
      <c r="AK161" s="63"/>
      <c r="AL161" s="61">
        <f>SUM(AH161:AK161)</f>
        <v>0</v>
      </c>
      <c r="AM161" s="68">
        <f t="shared" si="32"/>
        <v>0</v>
      </c>
    </row>
    <row r="162" spans="1:39" hidden="1" x14ac:dyDescent="0.35">
      <c r="A162" s="111"/>
      <c r="B162" s="54"/>
      <c r="C162" s="60" t="s">
        <v>228</v>
      </c>
      <c r="D162" s="60">
        <v>2</v>
      </c>
      <c r="E162" s="60"/>
      <c r="F162" s="60"/>
      <c r="G162" s="60"/>
      <c r="H162" s="61">
        <f>SUM(D162:G162)</f>
        <v>2</v>
      </c>
      <c r="I162" s="60"/>
      <c r="J162" s="60"/>
      <c r="K162" s="60"/>
      <c r="L162" s="60"/>
      <c r="M162" s="61">
        <f>SUM(I162:L162)</f>
        <v>0</v>
      </c>
      <c r="N162" s="60"/>
      <c r="O162" s="60"/>
      <c r="P162" s="60"/>
      <c r="Q162" s="60"/>
      <c r="R162" s="61">
        <f>SUM(N162:Q162)</f>
        <v>0</v>
      </c>
      <c r="S162" s="60"/>
      <c r="T162" s="60"/>
      <c r="U162" s="60"/>
      <c r="V162" s="60"/>
      <c r="W162" s="61">
        <f>SUM(S162:V162)</f>
        <v>0</v>
      </c>
      <c r="X162" s="60"/>
      <c r="Y162" s="60"/>
      <c r="Z162" s="60"/>
      <c r="AA162" s="60"/>
      <c r="AB162" s="61">
        <f>SUM(X162:AA162)</f>
        <v>0</v>
      </c>
      <c r="AC162" s="60"/>
      <c r="AD162" s="60"/>
      <c r="AE162" s="60"/>
      <c r="AF162" s="60"/>
      <c r="AG162" s="61">
        <f>SUM(AC162:AF162)</f>
        <v>0</v>
      </c>
      <c r="AH162" s="60"/>
      <c r="AI162" s="60"/>
      <c r="AJ162" s="60"/>
      <c r="AK162" s="60"/>
      <c r="AL162" s="61">
        <f>SUM(AH162:AK162)</f>
        <v>0</v>
      </c>
      <c r="AM162" s="68">
        <f t="shared" si="32"/>
        <v>2</v>
      </c>
    </row>
    <row r="163" spans="1:39" hidden="1" x14ac:dyDescent="0.35">
      <c r="A163" s="111"/>
      <c r="B163" s="54"/>
      <c r="C163" s="63" t="s">
        <v>235</v>
      </c>
      <c r="D163" s="63">
        <v>2</v>
      </c>
      <c r="E163" s="63"/>
      <c r="F163" s="63"/>
      <c r="G163" s="63"/>
      <c r="H163" s="61">
        <f>SUM(D163:G163)</f>
        <v>2</v>
      </c>
      <c r="I163" s="63">
        <v>1</v>
      </c>
      <c r="J163" s="63"/>
      <c r="K163" s="63"/>
      <c r="L163" s="63"/>
      <c r="M163" s="61">
        <f>SUM(I163:L163)</f>
        <v>1</v>
      </c>
      <c r="N163" s="63"/>
      <c r="O163" s="63"/>
      <c r="P163" s="63"/>
      <c r="Q163" s="63"/>
      <c r="R163" s="61">
        <f>SUM(N163:Q163)</f>
        <v>0</v>
      </c>
      <c r="S163" s="63"/>
      <c r="T163" s="63"/>
      <c r="U163" s="63"/>
      <c r="V163" s="63"/>
      <c r="W163" s="61">
        <f>SUM(S163:V163)</f>
        <v>0</v>
      </c>
      <c r="X163" s="63"/>
      <c r="Y163" s="63"/>
      <c r="Z163" s="63"/>
      <c r="AA163" s="63"/>
      <c r="AB163" s="61">
        <f>SUM(X163:AA163)</f>
        <v>0</v>
      </c>
      <c r="AC163" s="63"/>
      <c r="AD163" s="63"/>
      <c r="AE163" s="63"/>
      <c r="AF163" s="63"/>
      <c r="AG163" s="61">
        <f>SUM(AC163:AF163)</f>
        <v>0</v>
      </c>
      <c r="AH163" s="63"/>
      <c r="AI163" s="63"/>
      <c r="AJ163" s="63"/>
      <c r="AK163" s="63"/>
      <c r="AL163" s="61">
        <f>SUM(AH163:AK163)</f>
        <v>0</v>
      </c>
      <c r="AM163" s="68">
        <f t="shared" si="32"/>
        <v>3</v>
      </c>
    </row>
    <row r="164" spans="1:39" x14ac:dyDescent="0.35">
      <c r="A164" s="66" t="s">
        <v>295</v>
      </c>
      <c r="B164" s="67">
        <v>8</v>
      </c>
      <c r="C164" s="66"/>
      <c r="D164" s="66">
        <f t="shared" ref="D164:AL164" si="39">SUM(D160:D163)</f>
        <v>6</v>
      </c>
      <c r="E164" s="66">
        <f t="shared" si="39"/>
        <v>0</v>
      </c>
      <c r="F164" s="66">
        <f t="shared" si="39"/>
        <v>0</v>
      </c>
      <c r="G164" s="66">
        <f t="shared" si="39"/>
        <v>0</v>
      </c>
      <c r="H164" s="61">
        <f t="shared" si="39"/>
        <v>6</v>
      </c>
      <c r="I164" s="66">
        <f t="shared" si="39"/>
        <v>1</v>
      </c>
      <c r="J164" s="66">
        <f t="shared" si="39"/>
        <v>0</v>
      </c>
      <c r="K164" s="66">
        <f t="shared" si="39"/>
        <v>0</v>
      </c>
      <c r="L164" s="66">
        <f t="shared" si="39"/>
        <v>0</v>
      </c>
      <c r="M164" s="61">
        <f t="shared" si="39"/>
        <v>1</v>
      </c>
      <c r="N164" s="66">
        <f t="shared" si="39"/>
        <v>0</v>
      </c>
      <c r="O164" s="66">
        <f t="shared" si="39"/>
        <v>0</v>
      </c>
      <c r="P164" s="66">
        <f t="shared" si="39"/>
        <v>0</v>
      </c>
      <c r="Q164" s="66">
        <f t="shared" si="39"/>
        <v>0</v>
      </c>
      <c r="R164" s="61">
        <f t="shared" si="39"/>
        <v>0</v>
      </c>
      <c r="S164" s="66">
        <f t="shared" si="39"/>
        <v>0</v>
      </c>
      <c r="T164" s="66">
        <f t="shared" si="39"/>
        <v>0</v>
      </c>
      <c r="U164" s="66">
        <f t="shared" si="39"/>
        <v>0</v>
      </c>
      <c r="V164" s="66">
        <f t="shared" si="39"/>
        <v>0</v>
      </c>
      <c r="W164" s="61">
        <f t="shared" si="39"/>
        <v>0</v>
      </c>
      <c r="X164" s="66">
        <f t="shared" si="39"/>
        <v>0</v>
      </c>
      <c r="Y164" s="66">
        <f t="shared" si="39"/>
        <v>0</v>
      </c>
      <c r="Z164" s="66">
        <f t="shared" si="39"/>
        <v>0</v>
      </c>
      <c r="AA164" s="66">
        <f t="shared" si="39"/>
        <v>0</v>
      </c>
      <c r="AB164" s="61">
        <f t="shared" si="39"/>
        <v>0</v>
      </c>
      <c r="AC164" s="66">
        <f t="shared" si="39"/>
        <v>0</v>
      </c>
      <c r="AD164" s="66">
        <f t="shared" si="39"/>
        <v>0</v>
      </c>
      <c r="AE164" s="66">
        <f t="shared" si="39"/>
        <v>0</v>
      </c>
      <c r="AF164" s="66">
        <f t="shared" si="39"/>
        <v>0</v>
      </c>
      <c r="AG164" s="61">
        <f t="shared" si="39"/>
        <v>0</v>
      </c>
      <c r="AH164" s="66">
        <f t="shared" si="39"/>
        <v>0</v>
      </c>
      <c r="AI164" s="66">
        <f t="shared" si="39"/>
        <v>0</v>
      </c>
      <c r="AJ164" s="66">
        <f t="shared" si="39"/>
        <v>0</v>
      </c>
      <c r="AK164" s="66">
        <f t="shared" si="39"/>
        <v>0</v>
      </c>
      <c r="AL164" s="61">
        <f t="shared" si="39"/>
        <v>0</v>
      </c>
      <c r="AM164" s="68">
        <f t="shared" si="32"/>
        <v>7</v>
      </c>
    </row>
    <row r="165" spans="1:39" hidden="1" x14ac:dyDescent="0.35">
      <c r="A165" s="59" t="s">
        <v>297</v>
      </c>
      <c r="B165" s="54">
        <v>18</v>
      </c>
      <c r="C165" s="60" t="s">
        <v>225</v>
      </c>
      <c r="D165" s="60">
        <v>40</v>
      </c>
      <c r="E165" s="60">
        <v>3</v>
      </c>
      <c r="F165" s="60">
        <v>2</v>
      </c>
      <c r="G165" s="60"/>
      <c r="H165" s="61">
        <f>SUM(D165:G165)</f>
        <v>45</v>
      </c>
      <c r="I165" s="60"/>
      <c r="J165" s="60"/>
      <c r="K165" s="60"/>
      <c r="L165" s="60"/>
      <c r="M165" s="61">
        <f>SUM(I165:L165)</f>
        <v>0</v>
      </c>
      <c r="N165" s="60"/>
      <c r="O165" s="60">
        <v>1</v>
      </c>
      <c r="P165" s="60">
        <v>1</v>
      </c>
      <c r="Q165" s="60"/>
      <c r="R165" s="61">
        <f>SUM(N165:Q165)</f>
        <v>2</v>
      </c>
      <c r="S165" s="60"/>
      <c r="T165" s="60"/>
      <c r="U165" s="60"/>
      <c r="V165" s="60"/>
      <c r="W165" s="61">
        <f>SUM(S165:V165)</f>
        <v>0</v>
      </c>
      <c r="X165" s="60"/>
      <c r="Y165" s="60"/>
      <c r="Z165" s="60"/>
      <c r="AA165" s="60"/>
      <c r="AB165" s="61">
        <f>SUM(X165:AA165)</f>
        <v>0</v>
      </c>
      <c r="AC165" s="60">
        <v>1</v>
      </c>
      <c r="AD165" s="60"/>
      <c r="AE165" s="60"/>
      <c r="AF165" s="60"/>
      <c r="AG165" s="61">
        <f>SUM(AC165:AF165)</f>
        <v>1</v>
      </c>
      <c r="AH165" s="60"/>
      <c r="AI165" s="60"/>
      <c r="AJ165" s="60"/>
      <c r="AK165" s="60"/>
      <c r="AL165" s="61">
        <f>SUM(AH165:AK165)</f>
        <v>0</v>
      </c>
      <c r="AM165" s="68">
        <f t="shared" si="32"/>
        <v>48</v>
      </c>
    </row>
    <row r="166" spans="1:39" hidden="1" x14ac:dyDescent="0.35">
      <c r="A166" s="111" t="s">
        <v>298</v>
      </c>
      <c r="B166" s="54"/>
      <c r="C166" s="63" t="s">
        <v>227</v>
      </c>
      <c r="D166" s="63">
        <v>31</v>
      </c>
      <c r="E166" s="63">
        <v>3</v>
      </c>
      <c r="F166" s="63">
        <v>4</v>
      </c>
      <c r="G166" s="63"/>
      <c r="H166" s="61">
        <f>SUM(D166:G166)</f>
        <v>38</v>
      </c>
      <c r="I166" s="63"/>
      <c r="J166" s="63"/>
      <c r="K166" s="63">
        <v>1</v>
      </c>
      <c r="L166" s="63"/>
      <c r="M166" s="61">
        <f>SUM(I166:L166)</f>
        <v>1</v>
      </c>
      <c r="N166" s="63"/>
      <c r="O166" s="63"/>
      <c r="P166" s="63">
        <v>1</v>
      </c>
      <c r="Q166" s="63"/>
      <c r="R166" s="61">
        <f>SUM(N166:Q166)</f>
        <v>1</v>
      </c>
      <c r="S166" s="63"/>
      <c r="T166" s="63"/>
      <c r="U166" s="63"/>
      <c r="V166" s="63"/>
      <c r="W166" s="61">
        <f>SUM(S166:V166)</f>
        <v>0</v>
      </c>
      <c r="X166" s="63"/>
      <c r="Y166" s="63"/>
      <c r="Z166" s="63"/>
      <c r="AA166" s="63"/>
      <c r="AB166" s="61">
        <f>SUM(X166:AA166)</f>
        <v>0</v>
      </c>
      <c r="AC166" s="63"/>
      <c r="AD166" s="63"/>
      <c r="AE166" s="63">
        <v>1</v>
      </c>
      <c r="AF166" s="63"/>
      <c r="AG166" s="61">
        <f>SUM(AC166:AF166)</f>
        <v>1</v>
      </c>
      <c r="AH166" s="63"/>
      <c r="AI166" s="63"/>
      <c r="AJ166" s="63">
        <v>1</v>
      </c>
      <c r="AK166" s="63"/>
      <c r="AL166" s="61">
        <f>SUM(AH166:AK166)</f>
        <v>1</v>
      </c>
      <c r="AM166" s="68">
        <f t="shared" si="32"/>
        <v>42</v>
      </c>
    </row>
    <row r="167" spans="1:39" hidden="1" x14ac:dyDescent="0.35">
      <c r="A167" s="111"/>
      <c r="B167" s="54"/>
      <c r="C167" s="60" t="s">
        <v>228</v>
      </c>
      <c r="D167" s="60">
        <v>37</v>
      </c>
      <c r="E167" s="60">
        <v>10</v>
      </c>
      <c r="F167" s="60">
        <v>7</v>
      </c>
      <c r="G167" s="60"/>
      <c r="H167" s="61">
        <f>SUM(D167:G167)</f>
        <v>54</v>
      </c>
      <c r="I167" s="60"/>
      <c r="J167" s="60"/>
      <c r="K167" s="60">
        <v>1</v>
      </c>
      <c r="L167" s="60"/>
      <c r="M167" s="61">
        <f>SUM(I167:L167)</f>
        <v>1</v>
      </c>
      <c r="N167" s="60"/>
      <c r="O167" s="60"/>
      <c r="P167" s="60">
        <v>1</v>
      </c>
      <c r="Q167" s="60"/>
      <c r="R167" s="61">
        <f>SUM(N167:Q167)</f>
        <v>1</v>
      </c>
      <c r="S167" s="60"/>
      <c r="T167" s="60"/>
      <c r="U167" s="60"/>
      <c r="V167" s="60"/>
      <c r="W167" s="61">
        <f>SUM(S167:V167)</f>
        <v>0</v>
      </c>
      <c r="X167" s="60"/>
      <c r="Y167" s="60"/>
      <c r="Z167" s="60"/>
      <c r="AA167" s="60"/>
      <c r="AB167" s="61">
        <f>SUM(X167:AA167)</f>
        <v>0</v>
      </c>
      <c r="AC167" s="60"/>
      <c r="AD167" s="60"/>
      <c r="AE167" s="60"/>
      <c r="AF167" s="60"/>
      <c r="AG167" s="61">
        <f>SUM(AC167:AF167)</f>
        <v>0</v>
      </c>
      <c r="AH167" s="60"/>
      <c r="AI167" s="60"/>
      <c r="AJ167" s="60"/>
      <c r="AK167" s="60"/>
      <c r="AL167" s="61">
        <f>SUM(AH167:AK167)</f>
        <v>0</v>
      </c>
      <c r="AM167" s="68">
        <f t="shared" si="32"/>
        <v>56</v>
      </c>
    </row>
    <row r="168" spans="1:39" hidden="1" x14ac:dyDescent="0.35">
      <c r="A168" s="111"/>
      <c r="B168" s="54"/>
      <c r="C168" s="63" t="s">
        <v>235</v>
      </c>
      <c r="D168" s="63">
        <v>44</v>
      </c>
      <c r="E168" s="63"/>
      <c r="F168" s="63">
        <v>4</v>
      </c>
      <c r="G168" s="63"/>
      <c r="H168" s="61">
        <f>SUM(D168:G168)</f>
        <v>48</v>
      </c>
      <c r="I168" s="63"/>
      <c r="J168" s="63"/>
      <c r="K168" s="63"/>
      <c r="L168" s="63"/>
      <c r="M168" s="61">
        <f>SUM(I168:L168)</f>
        <v>0</v>
      </c>
      <c r="N168" s="63">
        <v>1</v>
      </c>
      <c r="O168" s="63">
        <v>1</v>
      </c>
      <c r="P168" s="63"/>
      <c r="Q168" s="63"/>
      <c r="R168" s="61">
        <f>SUM(N168:Q168)</f>
        <v>2</v>
      </c>
      <c r="S168" s="63"/>
      <c r="T168" s="63"/>
      <c r="U168" s="63"/>
      <c r="V168" s="63"/>
      <c r="W168" s="61">
        <f>SUM(S168:V168)</f>
        <v>0</v>
      </c>
      <c r="X168" s="63"/>
      <c r="Y168" s="63"/>
      <c r="Z168" s="63"/>
      <c r="AA168" s="63"/>
      <c r="AB168" s="61">
        <f>SUM(X168:AA168)</f>
        <v>0</v>
      </c>
      <c r="AC168" s="63"/>
      <c r="AD168" s="63"/>
      <c r="AE168" s="63"/>
      <c r="AF168" s="63"/>
      <c r="AG168" s="61">
        <f>SUM(AC168:AF168)</f>
        <v>0</v>
      </c>
      <c r="AH168" s="63"/>
      <c r="AI168" s="63"/>
      <c r="AJ168" s="63"/>
      <c r="AK168" s="63"/>
      <c r="AL168" s="61">
        <f>SUM(AH168:AK168)</f>
        <v>0</v>
      </c>
      <c r="AM168" s="68">
        <f t="shared" si="32"/>
        <v>50</v>
      </c>
    </row>
    <row r="169" spans="1:39" x14ac:dyDescent="0.35">
      <c r="A169" s="66" t="s">
        <v>297</v>
      </c>
      <c r="B169" s="67">
        <v>18</v>
      </c>
      <c r="C169" s="66"/>
      <c r="D169" s="66">
        <f t="shared" ref="D169:AL169" si="40">SUM(D165:D168)</f>
        <v>152</v>
      </c>
      <c r="E169" s="66">
        <f t="shared" si="40"/>
        <v>16</v>
      </c>
      <c r="F169" s="66">
        <f t="shared" si="40"/>
        <v>17</v>
      </c>
      <c r="G169" s="66">
        <f t="shared" si="40"/>
        <v>0</v>
      </c>
      <c r="H169" s="61">
        <f t="shared" si="40"/>
        <v>185</v>
      </c>
      <c r="I169" s="66">
        <f t="shared" si="40"/>
        <v>0</v>
      </c>
      <c r="J169" s="66">
        <f t="shared" si="40"/>
        <v>0</v>
      </c>
      <c r="K169" s="66">
        <f t="shared" si="40"/>
        <v>2</v>
      </c>
      <c r="L169" s="66">
        <f t="shared" si="40"/>
        <v>0</v>
      </c>
      <c r="M169" s="61">
        <f t="shared" si="40"/>
        <v>2</v>
      </c>
      <c r="N169" s="66">
        <f t="shared" si="40"/>
        <v>1</v>
      </c>
      <c r="O169" s="66">
        <f t="shared" si="40"/>
        <v>2</v>
      </c>
      <c r="P169" s="66">
        <f t="shared" si="40"/>
        <v>3</v>
      </c>
      <c r="Q169" s="66">
        <f t="shared" si="40"/>
        <v>0</v>
      </c>
      <c r="R169" s="61">
        <f t="shared" si="40"/>
        <v>6</v>
      </c>
      <c r="S169" s="66">
        <f t="shared" si="40"/>
        <v>0</v>
      </c>
      <c r="T169" s="66">
        <f t="shared" si="40"/>
        <v>0</v>
      </c>
      <c r="U169" s="66">
        <f t="shared" si="40"/>
        <v>0</v>
      </c>
      <c r="V169" s="66">
        <f t="shared" si="40"/>
        <v>0</v>
      </c>
      <c r="W169" s="61">
        <f t="shared" si="40"/>
        <v>0</v>
      </c>
      <c r="X169" s="66">
        <f t="shared" si="40"/>
        <v>0</v>
      </c>
      <c r="Y169" s="66">
        <f t="shared" si="40"/>
        <v>0</v>
      </c>
      <c r="Z169" s="66">
        <f t="shared" si="40"/>
        <v>0</v>
      </c>
      <c r="AA169" s="66">
        <f t="shared" si="40"/>
        <v>0</v>
      </c>
      <c r="AB169" s="61">
        <f t="shared" si="40"/>
        <v>0</v>
      </c>
      <c r="AC169" s="66">
        <f t="shared" si="40"/>
        <v>1</v>
      </c>
      <c r="AD169" s="66">
        <f t="shared" si="40"/>
        <v>0</v>
      </c>
      <c r="AE169" s="66">
        <f t="shared" si="40"/>
        <v>1</v>
      </c>
      <c r="AF169" s="66">
        <f t="shared" si="40"/>
        <v>0</v>
      </c>
      <c r="AG169" s="61">
        <f t="shared" si="40"/>
        <v>2</v>
      </c>
      <c r="AH169" s="66">
        <f t="shared" si="40"/>
        <v>0</v>
      </c>
      <c r="AI169" s="66">
        <f t="shared" si="40"/>
        <v>0</v>
      </c>
      <c r="AJ169" s="66">
        <f t="shared" si="40"/>
        <v>1</v>
      </c>
      <c r="AK169" s="66">
        <f t="shared" si="40"/>
        <v>0</v>
      </c>
      <c r="AL169" s="61">
        <f t="shared" si="40"/>
        <v>1</v>
      </c>
      <c r="AM169" s="68">
        <f t="shared" si="32"/>
        <v>196</v>
      </c>
    </row>
    <row r="170" spans="1:39" hidden="1" x14ac:dyDescent="0.35">
      <c r="A170" s="59" t="s">
        <v>299</v>
      </c>
      <c r="B170" s="54">
        <v>11</v>
      </c>
      <c r="C170" s="60" t="s">
        <v>225</v>
      </c>
      <c r="D170" s="60">
        <v>5</v>
      </c>
      <c r="E170" s="60"/>
      <c r="F170" s="60"/>
      <c r="G170" s="60"/>
      <c r="H170" s="61">
        <f>SUM(D170:G170)</f>
        <v>5</v>
      </c>
      <c r="I170" s="60"/>
      <c r="J170" s="60"/>
      <c r="K170" s="60"/>
      <c r="L170" s="60"/>
      <c r="M170" s="61">
        <f>SUM(I170:L170)</f>
        <v>0</v>
      </c>
      <c r="N170" s="60"/>
      <c r="O170" s="60"/>
      <c r="P170" s="60"/>
      <c r="Q170" s="60"/>
      <c r="R170" s="61">
        <f>SUM(N170:Q170)</f>
        <v>0</v>
      </c>
      <c r="S170" s="60"/>
      <c r="T170" s="60"/>
      <c r="U170" s="60"/>
      <c r="V170" s="60"/>
      <c r="W170" s="61">
        <f>SUM(S170:V170)</f>
        <v>0</v>
      </c>
      <c r="X170" s="60"/>
      <c r="Y170" s="60"/>
      <c r="Z170" s="60"/>
      <c r="AA170" s="60"/>
      <c r="AB170" s="61">
        <f>SUM(X170:AA170)</f>
        <v>0</v>
      </c>
      <c r="AC170" s="60"/>
      <c r="AD170" s="60"/>
      <c r="AE170" s="60"/>
      <c r="AF170" s="60"/>
      <c r="AG170" s="61">
        <f>SUM(AC170:AF170)</f>
        <v>0</v>
      </c>
      <c r="AH170" s="60"/>
      <c r="AI170" s="60"/>
      <c r="AJ170" s="60"/>
      <c r="AK170" s="60"/>
      <c r="AL170" s="61">
        <f>SUM(AH170:AK170)</f>
        <v>0</v>
      </c>
      <c r="AM170" s="68">
        <f t="shared" si="32"/>
        <v>5</v>
      </c>
    </row>
    <row r="171" spans="1:39" hidden="1" x14ac:dyDescent="0.35">
      <c r="A171" s="111" t="s">
        <v>300</v>
      </c>
      <c r="B171" s="54"/>
      <c r="C171" s="63" t="s">
        <v>227</v>
      </c>
      <c r="D171" s="63">
        <v>3</v>
      </c>
      <c r="E171" s="63"/>
      <c r="F171" s="63"/>
      <c r="G171" s="63"/>
      <c r="H171" s="61">
        <f>SUM(D171:G171)</f>
        <v>3</v>
      </c>
      <c r="I171" s="63"/>
      <c r="J171" s="63"/>
      <c r="K171" s="63"/>
      <c r="L171" s="63"/>
      <c r="M171" s="61">
        <f>SUM(I171:L171)</f>
        <v>0</v>
      </c>
      <c r="N171" s="63">
        <v>1</v>
      </c>
      <c r="O171" s="63"/>
      <c r="P171" s="63"/>
      <c r="Q171" s="63"/>
      <c r="R171" s="61">
        <f>SUM(N171:Q171)</f>
        <v>1</v>
      </c>
      <c r="S171" s="63"/>
      <c r="T171" s="63"/>
      <c r="U171" s="63"/>
      <c r="V171" s="63"/>
      <c r="W171" s="61">
        <f>SUM(S171:V171)</f>
        <v>0</v>
      </c>
      <c r="X171" s="63"/>
      <c r="Y171" s="63"/>
      <c r="Z171" s="63"/>
      <c r="AA171" s="63"/>
      <c r="AB171" s="61">
        <f>SUM(X171:AA171)</f>
        <v>0</v>
      </c>
      <c r="AC171" s="63"/>
      <c r="AD171" s="63"/>
      <c r="AE171" s="63"/>
      <c r="AF171" s="63"/>
      <c r="AG171" s="61">
        <f>SUM(AC171:AF171)</f>
        <v>0</v>
      </c>
      <c r="AH171" s="63"/>
      <c r="AI171" s="63"/>
      <c r="AJ171" s="63"/>
      <c r="AK171" s="63"/>
      <c r="AL171" s="61">
        <f>SUM(AH171:AK171)</f>
        <v>0</v>
      </c>
      <c r="AM171" s="68">
        <f t="shared" si="32"/>
        <v>4</v>
      </c>
    </row>
    <row r="172" spans="1:39" hidden="1" x14ac:dyDescent="0.35">
      <c r="A172" s="111"/>
      <c r="B172" s="54"/>
      <c r="C172" s="60" t="s">
        <v>228</v>
      </c>
      <c r="D172" s="60">
        <v>4</v>
      </c>
      <c r="E172" s="60"/>
      <c r="F172" s="60"/>
      <c r="G172" s="60"/>
      <c r="H172" s="61">
        <f>SUM(D172:G172)</f>
        <v>4</v>
      </c>
      <c r="I172" s="60"/>
      <c r="J172" s="60"/>
      <c r="K172" s="60"/>
      <c r="L172" s="60"/>
      <c r="M172" s="61">
        <f>SUM(I172:L172)</f>
        <v>0</v>
      </c>
      <c r="N172" s="60"/>
      <c r="O172" s="60"/>
      <c r="P172" s="60"/>
      <c r="Q172" s="60"/>
      <c r="R172" s="61">
        <f>SUM(N172:Q172)</f>
        <v>0</v>
      </c>
      <c r="S172" s="60"/>
      <c r="T172" s="60"/>
      <c r="U172" s="60"/>
      <c r="V172" s="60"/>
      <c r="W172" s="61">
        <f>SUM(S172:V172)</f>
        <v>0</v>
      </c>
      <c r="X172" s="60"/>
      <c r="Y172" s="60"/>
      <c r="Z172" s="60"/>
      <c r="AA172" s="60"/>
      <c r="AB172" s="61">
        <f>SUM(X172:AA172)</f>
        <v>0</v>
      </c>
      <c r="AC172" s="60"/>
      <c r="AD172" s="60"/>
      <c r="AE172" s="60"/>
      <c r="AF172" s="60"/>
      <c r="AG172" s="61">
        <f>SUM(AC172:AF172)</f>
        <v>0</v>
      </c>
      <c r="AH172" s="60"/>
      <c r="AI172" s="60"/>
      <c r="AJ172" s="60"/>
      <c r="AK172" s="60"/>
      <c r="AL172" s="61">
        <f>SUM(AH172:AK172)</f>
        <v>0</v>
      </c>
      <c r="AM172" s="68">
        <f t="shared" si="32"/>
        <v>4</v>
      </c>
    </row>
    <row r="173" spans="1:39" hidden="1" x14ac:dyDescent="0.35">
      <c r="A173" s="111"/>
      <c r="B173" s="54"/>
      <c r="C173" s="63" t="s">
        <v>235</v>
      </c>
      <c r="D173" s="63">
        <v>11</v>
      </c>
      <c r="E173" s="63"/>
      <c r="F173" s="63"/>
      <c r="G173" s="63"/>
      <c r="H173" s="61">
        <f>SUM(D173:G173)</f>
        <v>11</v>
      </c>
      <c r="I173" s="63"/>
      <c r="J173" s="63"/>
      <c r="K173" s="63"/>
      <c r="L173" s="63"/>
      <c r="M173" s="61">
        <f>SUM(I173:L173)</f>
        <v>0</v>
      </c>
      <c r="N173" s="63">
        <v>1</v>
      </c>
      <c r="O173" s="63"/>
      <c r="P173" s="63"/>
      <c r="Q173" s="63"/>
      <c r="R173" s="61">
        <f>SUM(N173:Q173)</f>
        <v>1</v>
      </c>
      <c r="S173" s="63"/>
      <c r="T173" s="63"/>
      <c r="U173" s="63"/>
      <c r="V173" s="63"/>
      <c r="W173" s="61">
        <f>SUM(S173:V173)</f>
        <v>0</v>
      </c>
      <c r="X173" s="63"/>
      <c r="Y173" s="63"/>
      <c r="Z173" s="63"/>
      <c r="AA173" s="63"/>
      <c r="AB173" s="61">
        <f>SUM(X173:AA173)</f>
        <v>0</v>
      </c>
      <c r="AC173" s="63"/>
      <c r="AD173" s="63"/>
      <c r="AE173" s="63"/>
      <c r="AF173" s="63"/>
      <c r="AG173" s="61">
        <f>SUM(AC173:AF173)</f>
        <v>0</v>
      </c>
      <c r="AH173" s="63"/>
      <c r="AI173" s="63"/>
      <c r="AJ173" s="63"/>
      <c r="AK173" s="63"/>
      <c r="AL173" s="61">
        <f>SUM(AH173:AK173)</f>
        <v>0</v>
      </c>
      <c r="AM173" s="68">
        <f t="shared" si="32"/>
        <v>12</v>
      </c>
    </row>
    <row r="174" spans="1:39" x14ac:dyDescent="0.35">
      <c r="A174" s="66" t="s">
        <v>299</v>
      </c>
      <c r="B174" s="67">
        <v>11</v>
      </c>
      <c r="C174" s="66"/>
      <c r="D174" s="66">
        <f t="shared" ref="D174:AL174" si="41">SUM(D170:D173)</f>
        <v>23</v>
      </c>
      <c r="E174" s="66">
        <f t="shared" si="41"/>
        <v>0</v>
      </c>
      <c r="F174" s="66">
        <f t="shared" si="41"/>
        <v>0</v>
      </c>
      <c r="G174" s="66">
        <f t="shared" si="41"/>
        <v>0</v>
      </c>
      <c r="H174" s="61">
        <f t="shared" si="41"/>
        <v>23</v>
      </c>
      <c r="I174" s="66">
        <f t="shared" si="41"/>
        <v>0</v>
      </c>
      <c r="J174" s="66">
        <f t="shared" si="41"/>
        <v>0</v>
      </c>
      <c r="K174" s="66">
        <f t="shared" si="41"/>
        <v>0</v>
      </c>
      <c r="L174" s="66">
        <f t="shared" si="41"/>
        <v>0</v>
      </c>
      <c r="M174" s="61">
        <f t="shared" si="41"/>
        <v>0</v>
      </c>
      <c r="N174" s="66">
        <f t="shared" si="41"/>
        <v>2</v>
      </c>
      <c r="O174" s="66">
        <f t="shared" si="41"/>
        <v>0</v>
      </c>
      <c r="P174" s="66">
        <f t="shared" si="41"/>
        <v>0</v>
      </c>
      <c r="Q174" s="66">
        <f t="shared" si="41"/>
        <v>0</v>
      </c>
      <c r="R174" s="61">
        <f t="shared" si="41"/>
        <v>2</v>
      </c>
      <c r="S174" s="66">
        <f t="shared" si="41"/>
        <v>0</v>
      </c>
      <c r="T174" s="66">
        <f t="shared" si="41"/>
        <v>0</v>
      </c>
      <c r="U174" s="66">
        <f t="shared" si="41"/>
        <v>0</v>
      </c>
      <c r="V174" s="66">
        <f t="shared" si="41"/>
        <v>0</v>
      </c>
      <c r="W174" s="61">
        <f t="shared" si="41"/>
        <v>0</v>
      </c>
      <c r="X174" s="66">
        <f t="shared" si="41"/>
        <v>0</v>
      </c>
      <c r="Y174" s="66">
        <f t="shared" si="41"/>
        <v>0</v>
      </c>
      <c r="Z174" s="66">
        <f t="shared" si="41"/>
        <v>0</v>
      </c>
      <c r="AA174" s="66">
        <f t="shared" si="41"/>
        <v>0</v>
      </c>
      <c r="AB174" s="61">
        <f t="shared" si="41"/>
        <v>0</v>
      </c>
      <c r="AC174" s="66">
        <f t="shared" si="41"/>
        <v>0</v>
      </c>
      <c r="AD174" s="66">
        <f t="shared" si="41"/>
        <v>0</v>
      </c>
      <c r="AE174" s="66">
        <f t="shared" si="41"/>
        <v>0</v>
      </c>
      <c r="AF174" s="66">
        <f t="shared" si="41"/>
        <v>0</v>
      </c>
      <c r="AG174" s="61">
        <f t="shared" si="41"/>
        <v>0</v>
      </c>
      <c r="AH174" s="66">
        <f t="shared" si="41"/>
        <v>0</v>
      </c>
      <c r="AI174" s="66">
        <f t="shared" si="41"/>
        <v>0</v>
      </c>
      <c r="AJ174" s="66">
        <f t="shared" si="41"/>
        <v>0</v>
      </c>
      <c r="AK174" s="66">
        <f t="shared" si="41"/>
        <v>0</v>
      </c>
      <c r="AL174" s="61">
        <f t="shared" si="41"/>
        <v>0</v>
      </c>
      <c r="AM174" s="68">
        <f t="shared" si="32"/>
        <v>25</v>
      </c>
    </row>
    <row r="175" spans="1:39" hidden="1" x14ac:dyDescent="0.35">
      <c r="A175" s="59" t="s">
        <v>301</v>
      </c>
      <c r="B175" s="54">
        <v>30</v>
      </c>
      <c r="C175" s="60" t="s">
        <v>225</v>
      </c>
      <c r="D175" s="60"/>
      <c r="E175" s="60"/>
      <c r="F175" s="60"/>
      <c r="G175" s="60"/>
      <c r="H175" s="61">
        <f>SUM(D175:G175)</f>
        <v>0</v>
      </c>
      <c r="I175" s="60"/>
      <c r="J175" s="60"/>
      <c r="K175" s="60"/>
      <c r="L175" s="60"/>
      <c r="M175" s="61">
        <f>SUM(I175:L175)</f>
        <v>0</v>
      </c>
      <c r="N175" s="60"/>
      <c r="O175" s="60"/>
      <c r="P175" s="60"/>
      <c r="Q175" s="60"/>
      <c r="R175" s="61">
        <f>SUM(N175:Q175)</f>
        <v>0</v>
      </c>
      <c r="S175" s="60"/>
      <c r="T175" s="60"/>
      <c r="U175" s="60"/>
      <c r="V175" s="60"/>
      <c r="W175" s="61">
        <f>SUM(S175:V175)</f>
        <v>0</v>
      </c>
      <c r="X175" s="60"/>
      <c r="Y175" s="60"/>
      <c r="Z175" s="60"/>
      <c r="AA175" s="60"/>
      <c r="AB175" s="61">
        <f>SUM(X175:AA175)</f>
        <v>0</v>
      </c>
      <c r="AC175" s="60">
        <v>1</v>
      </c>
      <c r="AD175" s="60"/>
      <c r="AE175" s="60"/>
      <c r="AF175" s="60"/>
      <c r="AG175" s="61">
        <f>SUM(AC175:AF175)</f>
        <v>1</v>
      </c>
      <c r="AH175" s="60">
        <v>6</v>
      </c>
      <c r="AI175" s="60"/>
      <c r="AJ175" s="60"/>
      <c r="AK175" s="60"/>
      <c r="AL175" s="61">
        <f>SUM(AH175:AK175)</f>
        <v>6</v>
      </c>
      <c r="AM175" s="68">
        <f t="shared" si="32"/>
        <v>7</v>
      </c>
    </row>
    <row r="176" spans="1:39" hidden="1" x14ac:dyDescent="0.35">
      <c r="A176" s="111" t="s">
        <v>263</v>
      </c>
      <c r="B176" s="54"/>
      <c r="C176" s="63" t="s">
        <v>227</v>
      </c>
      <c r="D176" s="63"/>
      <c r="E176" s="63"/>
      <c r="F176" s="63"/>
      <c r="G176" s="63"/>
      <c r="H176" s="61">
        <f>SUM(D176:G176)</f>
        <v>0</v>
      </c>
      <c r="I176" s="63"/>
      <c r="J176" s="63"/>
      <c r="K176" s="63"/>
      <c r="L176" s="63"/>
      <c r="M176" s="61">
        <f>SUM(I176:L176)</f>
        <v>0</v>
      </c>
      <c r="N176" s="63">
        <v>1</v>
      </c>
      <c r="O176" s="63"/>
      <c r="P176" s="63"/>
      <c r="Q176" s="63"/>
      <c r="R176" s="61">
        <f>SUM(N176:Q176)</f>
        <v>1</v>
      </c>
      <c r="S176" s="63"/>
      <c r="T176" s="63"/>
      <c r="U176" s="63"/>
      <c r="V176" s="63"/>
      <c r="W176" s="61">
        <f>SUM(S176:V176)</f>
        <v>0</v>
      </c>
      <c r="X176" s="63"/>
      <c r="Y176" s="63"/>
      <c r="Z176" s="63"/>
      <c r="AA176" s="63"/>
      <c r="AB176" s="61">
        <f>SUM(X176:AA176)</f>
        <v>0</v>
      </c>
      <c r="AC176" s="63">
        <v>1</v>
      </c>
      <c r="AD176" s="63"/>
      <c r="AE176" s="63"/>
      <c r="AF176" s="63"/>
      <c r="AG176" s="61">
        <f>SUM(AC176:AF176)</f>
        <v>1</v>
      </c>
      <c r="AH176" s="63">
        <v>3</v>
      </c>
      <c r="AI176" s="63"/>
      <c r="AJ176" s="63"/>
      <c r="AK176" s="63"/>
      <c r="AL176" s="61">
        <f>SUM(AH176:AK176)</f>
        <v>3</v>
      </c>
      <c r="AM176" s="68">
        <f t="shared" si="32"/>
        <v>5</v>
      </c>
    </row>
    <row r="177" spans="1:39" hidden="1" x14ac:dyDescent="0.35">
      <c r="A177" s="111"/>
      <c r="B177" s="54"/>
      <c r="C177" s="60" t="s">
        <v>228</v>
      </c>
      <c r="D177" s="60"/>
      <c r="E177" s="60"/>
      <c r="F177" s="60"/>
      <c r="G177" s="60"/>
      <c r="H177" s="61">
        <f>SUM(D177:G177)</f>
        <v>0</v>
      </c>
      <c r="I177" s="60"/>
      <c r="J177" s="60"/>
      <c r="K177" s="60"/>
      <c r="L177" s="60"/>
      <c r="M177" s="61">
        <f>SUM(I177:L177)</f>
        <v>0</v>
      </c>
      <c r="N177" s="60"/>
      <c r="O177" s="60"/>
      <c r="P177" s="60"/>
      <c r="Q177" s="60"/>
      <c r="R177" s="61">
        <f>SUM(N177:Q177)</f>
        <v>0</v>
      </c>
      <c r="S177" s="60"/>
      <c r="T177" s="60"/>
      <c r="U177" s="60"/>
      <c r="V177" s="60"/>
      <c r="W177" s="61">
        <f>SUM(S177:V177)</f>
        <v>0</v>
      </c>
      <c r="X177" s="60"/>
      <c r="Y177" s="60"/>
      <c r="Z177" s="60"/>
      <c r="AA177" s="60"/>
      <c r="AB177" s="61">
        <f>SUM(X177:AA177)</f>
        <v>0</v>
      </c>
      <c r="AC177" s="60">
        <v>1</v>
      </c>
      <c r="AD177" s="60"/>
      <c r="AE177" s="60"/>
      <c r="AF177" s="60"/>
      <c r="AG177" s="61">
        <f>SUM(AC177:AF177)</f>
        <v>1</v>
      </c>
      <c r="AH177" s="60">
        <v>2</v>
      </c>
      <c r="AI177" s="60"/>
      <c r="AJ177" s="60"/>
      <c r="AK177" s="60"/>
      <c r="AL177" s="61">
        <f>SUM(AH177:AK177)</f>
        <v>2</v>
      </c>
      <c r="AM177" s="68">
        <f t="shared" si="32"/>
        <v>3</v>
      </c>
    </row>
    <row r="178" spans="1:39" hidden="1" x14ac:dyDescent="0.35">
      <c r="A178" s="111"/>
      <c r="B178" s="54"/>
      <c r="C178" s="63" t="s">
        <v>235</v>
      </c>
      <c r="D178" s="63"/>
      <c r="E178" s="63"/>
      <c r="F178" s="63"/>
      <c r="G178" s="63"/>
      <c r="H178" s="61">
        <f>SUM(D178:G178)</f>
        <v>0</v>
      </c>
      <c r="I178" s="63"/>
      <c r="J178" s="63"/>
      <c r="K178" s="63"/>
      <c r="L178" s="63"/>
      <c r="M178" s="61">
        <f>SUM(I178:L178)</f>
        <v>0</v>
      </c>
      <c r="N178" s="63">
        <v>1</v>
      </c>
      <c r="O178" s="63"/>
      <c r="P178" s="63"/>
      <c r="Q178" s="63"/>
      <c r="R178" s="61">
        <f>SUM(N178:Q178)</f>
        <v>1</v>
      </c>
      <c r="S178" s="63"/>
      <c r="T178" s="63"/>
      <c r="U178" s="63"/>
      <c r="V178" s="63"/>
      <c r="W178" s="61">
        <f>SUM(S178:V178)</f>
        <v>0</v>
      </c>
      <c r="X178" s="63"/>
      <c r="Y178" s="63"/>
      <c r="Z178" s="63"/>
      <c r="AA178" s="63"/>
      <c r="AB178" s="61">
        <f>SUM(X178:AA178)</f>
        <v>0</v>
      </c>
      <c r="AC178" s="63">
        <v>1</v>
      </c>
      <c r="AD178" s="63"/>
      <c r="AE178" s="63"/>
      <c r="AF178" s="63"/>
      <c r="AG178" s="61">
        <f>SUM(AC178:AF178)</f>
        <v>1</v>
      </c>
      <c r="AH178" s="63">
        <v>2</v>
      </c>
      <c r="AI178" s="63"/>
      <c r="AJ178" s="63"/>
      <c r="AK178" s="63"/>
      <c r="AL178" s="61">
        <f>SUM(AH178:AK178)</f>
        <v>2</v>
      </c>
      <c r="AM178" s="68">
        <f t="shared" si="32"/>
        <v>4</v>
      </c>
    </row>
    <row r="179" spans="1:39" x14ac:dyDescent="0.35">
      <c r="A179" s="66" t="s">
        <v>301</v>
      </c>
      <c r="B179" s="67">
        <v>30</v>
      </c>
      <c r="C179" s="66"/>
      <c r="D179" s="66">
        <f t="shared" ref="D179:AL179" si="42">SUM(D175:D178)</f>
        <v>0</v>
      </c>
      <c r="E179" s="66">
        <f t="shared" si="42"/>
        <v>0</v>
      </c>
      <c r="F179" s="66">
        <f t="shared" si="42"/>
        <v>0</v>
      </c>
      <c r="G179" s="66">
        <f t="shared" si="42"/>
        <v>0</v>
      </c>
      <c r="H179" s="61">
        <f t="shared" si="42"/>
        <v>0</v>
      </c>
      <c r="I179" s="66">
        <f t="shared" si="42"/>
        <v>0</v>
      </c>
      <c r="J179" s="66">
        <f t="shared" si="42"/>
        <v>0</v>
      </c>
      <c r="K179" s="66">
        <f t="shared" si="42"/>
        <v>0</v>
      </c>
      <c r="L179" s="66">
        <f t="shared" si="42"/>
        <v>0</v>
      </c>
      <c r="M179" s="61">
        <f t="shared" si="42"/>
        <v>0</v>
      </c>
      <c r="N179" s="66">
        <f t="shared" si="42"/>
        <v>2</v>
      </c>
      <c r="O179" s="66">
        <f t="shared" si="42"/>
        <v>0</v>
      </c>
      <c r="P179" s="66">
        <f t="shared" si="42"/>
        <v>0</v>
      </c>
      <c r="Q179" s="66">
        <f t="shared" si="42"/>
        <v>0</v>
      </c>
      <c r="R179" s="61">
        <f t="shared" si="42"/>
        <v>2</v>
      </c>
      <c r="S179" s="66">
        <f t="shared" si="42"/>
        <v>0</v>
      </c>
      <c r="T179" s="66">
        <f t="shared" si="42"/>
        <v>0</v>
      </c>
      <c r="U179" s="66">
        <f t="shared" si="42"/>
        <v>0</v>
      </c>
      <c r="V179" s="66">
        <f t="shared" si="42"/>
        <v>0</v>
      </c>
      <c r="W179" s="61">
        <f t="shared" si="42"/>
        <v>0</v>
      </c>
      <c r="X179" s="66">
        <f t="shared" si="42"/>
        <v>0</v>
      </c>
      <c r="Y179" s="66">
        <f t="shared" si="42"/>
        <v>0</v>
      </c>
      <c r="Z179" s="66">
        <f t="shared" si="42"/>
        <v>0</v>
      </c>
      <c r="AA179" s="66">
        <f t="shared" si="42"/>
        <v>0</v>
      </c>
      <c r="AB179" s="61">
        <f t="shared" si="42"/>
        <v>0</v>
      </c>
      <c r="AC179" s="66">
        <f t="shared" si="42"/>
        <v>4</v>
      </c>
      <c r="AD179" s="66">
        <f t="shared" si="42"/>
        <v>0</v>
      </c>
      <c r="AE179" s="66">
        <f t="shared" si="42"/>
        <v>0</v>
      </c>
      <c r="AF179" s="66">
        <f t="shared" si="42"/>
        <v>0</v>
      </c>
      <c r="AG179" s="61">
        <f t="shared" si="42"/>
        <v>4</v>
      </c>
      <c r="AH179" s="66">
        <f t="shared" si="42"/>
        <v>13</v>
      </c>
      <c r="AI179" s="66">
        <f t="shared" si="42"/>
        <v>0</v>
      </c>
      <c r="AJ179" s="66">
        <f t="shared" si="42"/>
        <v>0</v>
      </c>
      <c r="AK179" s="66">
        <f t="shared" si="42"/>
        <v>0</v>
      </c>
      <c r="AL179" s="61">
        <f t="shared" si="42"/>
        <v>13</v>
      </c>
      <c r="AM179" s="68">
        <f t="shared" si="32"/>
        <v>19</v>
      </c>
    </row>
    <row r="180" spans="1:39" hidden="1" x14ac:dyDescent="0.35">
      <c r="A180" s="59" t="s">
        <v>302</v>
      </c>
      <c r="B180" s="54" t="s">
        <v>303</v>
      </c>
      <c r="C180" s="60" t="s">
        <v>225</v>
      </c>
      <c r="D180" s="60">
        <v>14</v>
      </c>
      <c r="E180" s="60"/>
      <c r="F180" s="60"/>
      <c r="G180" s="60"/>
      <c r="H180" s="61">
        <f>SUM(D180:G180)</f>
        <v>14</v>
      </c>
      <c r="I180" s="60"/>
      <c r="J180" s="60"/>
      <c r="K180" s="60"/>
      <c r="L180" s="60"/>
      <c r="M180" s="61">
        <f>SUM(I180:L180)</f>
        <v>0</v>
      </c>
      <c r="N180" s="60">
        <v>1</v>
      </c>
      <c r="O180" s="60"/>
      <c r="P180" s="60"/>
      <c r="Q180" s="60"/>
      <c r="R180" s="61">
        <f>SUM(N180:Q180)</f>
        <v>1</v>
      </c>
      <c r="S180" s="60"/>
      <c r="T180" s="60"/>
      <c r="U180" s="60"/>
      <c r="V180" s="60"/>
      <c r="W180" s="61">
        <f>SUM(S180:V180)</f>
        <v>0</v>
      </c>
      <c r="X180" s="60"/>
      <c r="Y180" s="60"/>
      <c r="Z180" s="60"/>
      <c r="AA180" s="60"/>
      <c r="AB180" s="61">
        <f>SUM(X180:AA180)</f>
        <v>0</v>
      </c>
      <c r="AC180" s="60">
        <v>2</v>
      </c>
      <c r="AD180" s="60"/>
      <c r="AE180" s="60"/>
      <c r="AF180" s="60"/>
      <c r="AG180" s="61">
        <f>SUM(AC180:AF180)</f>
        <v>2</v>
      </c>
      <c r="AH180" s="60"/>
      <c r="AI180" s="60"/>
      <c r="AJ180" s="60"/>
      <c r="AK180" s="60"/>
      <c r="AL180" s="61">
        <f>SUM(AH180:AK180)</f>
        <v>0</v>
      </c>
      <c r="AM180" s="68">
        <f t="shared" si="32"/>
        <v>17</v>
      </c>
    </row>
    <row r="181" spans="1:39" hidden="1" x14ac:dyDescent="0.35">
      <c r="A181" s="111" t="s">
        <v>304</v>
      </c>
      <c r="B181" s="54"/>
      <c r="C181" s="63" t="s">
        <v>227</v>
      </c>
      <c r="D181" s="63">
        <v>3</v>
      </c>
      <c r="E181" s="63"/>
      <c r="F181" s="63"/>
      <c r="G181" s="63"/>
      <c r="H181" s="61">
        <f>SUM(D181:G181)</f>
        <v>3</v>
      </c>
      <c r="I181" s="63"/>
      <c r="J181" s="63"/>
      <c r="K181" s="63"/>
      <c r="L181" s="63"/>
      <c r="M181" s="61">
        <f>SUM(I181:L181)</f>
        <v>0</v>
      </c>
      <c r="N181" s="63">
        <v>2</v>
      </c>
      <c r="O181" s="63"/>
      <c r="P181" s="63"/>
      <c r="Q181" s="63"/>
      <c r="R181" s="61">
        <f>SUM(N181:Q181)</f>
        <v>2</v>
      </c>
      <c r="S181" s="63"/>
      <c r="T181" s="63"/>
      <c r="U181" s="63"/>
      <c r="V181" s="63"/>
      <c r="W181" s="61">
        <f>SUM(S181:V181)</f>
        <v>0</v>
      </c>
      <c r="X181" s="63"/>
      <c r="Y181" s="63"/>
      <c r="Z181" s="63"/>
      <c r="AA181" s="63"/>
      <c r="AB181" s="61">
        <f>SUM(X181:AA181)</f>
        <v>0</v>
      </c>
      <c r="AC181" s="63">
        <v>2</v>
      </c>
      <c r="AD181" s="63"/>
      <c r="AE181" s="63"/>
      <c r="AF181" s="63"/>
      <c r="AG181" s="61">
        <f>SUM(AC181:AF181)</f>
        <v>2</v>
      </c>
      <c r="AH181" s="63"/>
      <c r="AI181" s="63"/>
      <c r="AJ181" s="63"/>
      <c r="AK181" s="63"/>
      <c r="AL181" s="61">
        <f>SUM(AH181:AK181)</f>
        <v>0</v>
      </c>
      <c r="AM181" s="68">
        <f t="shared" si="32"/>
        <v>7</v>
      </c>
    </row>
    <row r="182" spans="1:39" hidden="1" x14ac:dyDescent="0.35">
      <c r="A182" s="111"/>
      <c r="B182" s="54"/>
      <c r="C182" s="60" t="s">
        <v>228</v>
      </c>
      <c r="D182" s="60">
        <v>5</v>
      </c>
      <c r="E182" s="60"/>
      <c r="F182" s="60"/>
      <c r="G182" s="60"/>
      <c r="H182" s="61">
        <f>SUM(D182:G182)</f>
        <v>5</v>
      </c>
      <c r="I182" s="60"/>
      <c r="J182" s="60"/>
      <c r="K182" s="60"/>
      <c r="L182" s="60"/>
      <c r="M182" s="61">
        <f>SUM(I182:L182)</f>
        <v>0</v>
      </c>
      <c r="N182" s="60">
        <v>3</v>
      </c>
      <c r="O182" s="60"/>
      <c r="P182" s="60"/>
      <c r="Q182" s="60"/>
      <c r="R182" s="61">
        <f>SUM(N182:Q182)</f>
        <v>3</v>
      </c>
      <c r="S182" s="60"/>
      <c r="T182" s="60"/>
      <c r="U182" s="60"/>
      <c r="V182" s="60"/>
      <c r="W182" s="61">
        <f>SUM(S182:V182)</f>
        <v>0</v>
      </c>
      <c r="X182" s="60"/>
      <c r="Y182" s="60"/>
      <c r="Z182" s="60"/>
      <c r="AA182" s="60"/>
      <c r="AB182" s="61">
        <f>SUM(X182:AA182)</f>
        <v>0</v>
      </c>
      <c r="AC182" s="60">
        <v>1</v>
      </c>
      <c r="AD182" s="60"/>
      <c r="AE182" s="60"/>
      <c r="AF182" s="60"/>
      <c r="AG182" s="61">
        <f>SUM(AC182:AF182)</f>
        <v>1</v>
      </c>
      <c r="AH182" s="60">
        <v>3</v>
      </c>
      <c r="AI182" s="60"/>
      <c r="AJ182" s="60"/>
      <c r="AK182" s="60"/>
      <c r="AL182" s="61">
        <f>SUM(AH182:AK182)</f>
        <v>3</v>
      </c>
      <c r="AM182" s="68">
        <f t="shared" si="32"/>
        <v>12</v>
      </c>
    </row>
    <row r="183" spans="1:39" hidden="1" x14ac:dyDescent="0.35">
      <c r="A183" s="111"/>
      <c r="B183" s="54"/>
      <c r="C183" s="63" t="s">
        <v>235</v>
      </c>
      <c r="D183" s="63">
        <v>6</v>
      </c>
      <c r="E183" s="63"/>
      <c r="F183" s="63"/>
      <c r="G183" s="63"/>
      <c r="H183" s="61">
        <f>SUM(D183:G183)</f>
        <v>6</v>
      </c>
      <c r="I183" s="63">
        <v>1</v>
      </c>
      <c r="J183" s="63"/>
      <c r="K183" s="63"/>
      <c r="L183" s="63"/>
      <c r="M183" s="61">
        <f>SUM(I183:L183)</f>
        <v>1</v>
      </c>
      <c r="N183" s="63">
        <v>5</v>
      </c>
      <c r="O183" s="63"/>
      <c r="P183" s="63"/>
      <c r="Q183" s="63"/>
      <c r="R183" s="61">
        <f>SUM(N183:Q183)</f>
        <v>5</v>
      </c>
      <c r="S183" s="63"/>
      <c r="T183" s="63"/>
      <c r="U183" s="63"/>
      <c r="V183" s="63"/>
      <c r="W183" s="61">
        <f>SUM(S183:V183)</f>
        <v>0</v>
      </c>
      <c r="X183" s="63"/>
      <c r="Y183" s="63"/>
      <c r="Z183" s="63"/>
      <c r="AA183" s="63"/>
      <c r="AB183" s="61">
        <f>SUM(X183:AA183)</f>
        <v>0</v>
      </c>
      <c r="AC183" s="63"/>
      <c r="AD183" s="63"/>
      <c r="AE183" s="63"/>
      <c r="AF183" s="63"/>
      <c r="AG183" s="61">
        <f>SUM(AC183:AF183)</f>
        <v>0</v>
      </c>
      <c r="AH183" s="63">
        <v>2</v>
      </c>
      <c r="AI183" s="63"/>
      <c r="AJ183" s="63"/>
      <c r="AK183" s="63"/>
      <c r="AL183" s="61">
        <f>SUM(AH183:AK183)</f>
        <v>2</v>
      </c>
      <c r="AM183" s="68">
        <f t="shared" si="32"/>
        <v>14</v>
      </c>
    </row>
    <row r="184" spans="1:39" x14ac:dyDescent="0.35">
      <c r="A184" s="66" t="s">
        <v>302</v>
      </c>
      <c r="B184" s="67" t="s">
        <v>303</v>
      </c>
      <c r="C184" s="66"/>
      <c r="D184" s="66">
        <f t="shared" ref="D184:AL184" si="43">SUM(D180:D183)</f>
        <v>28</v>
      </c>
      <c r="E184" s="66">
        <f t="shared" si="43"/>
        <v>0</v>
      </c>
      <c r="F184" s="66">
        <f t="shared" si="43"/>
        <v>0</v>
      </c>
      <c r="G184" s="66">
        <f t="shared" si="43"/>
        <v>0</v>
      </c>
      <c r="H184" s="61">
        <f t="shared" si="43"/>
        <v>28</v>
      </c>
      <c r="I184" s="66">
        <f t="shared" si="43"/>
        <v>1</v>
      </c>
      <c r="J184" s="66">
        <f t="shared" si="43"/>
        <v>0</v>
      </c>
      <c r="K184" s="66">
        <f t="shared" si="43"/>
        <v>0</v>
      </c>
      <c r="L184" s="66">
        <f t="shared" si="43"/>
        <v>0</v>
      </c>
      <c r="M184" s="61">
        <f t="shared" si="43"/>
        <v>1</v>
      </c>
      <c r="N184" s="66">
        <f t="shared" si="43"/>
        <v>11</v>
      </c>
      <c r="O184" s="66">
        <f t="shared" si="43"/>
        <v>0</v>
      </c>
      <c r="P184" s="66">
        <f t="shared" si="43"/>
        <v>0</v>
      </c>
      <c r="Q184" s="66">
        <f t="shared" si="43"/>
        <v>0</v>
      </c>
      <c r="R184" s="61">
        <f t="shared" si="43"/>
        <v>11</v>
      </c>
      <c r="S184" s="66">
        <f t="shared" si="43"/>
        <v>0</v>
      </c>
      <c r="T184" s="66">
        <f t="shared" si="43"/>
        <v>0</v>
      </c>
      <c r="U184" s="66">
        <f t="shared" si="43"/>
        <v>0</v>
      </c>
      <c r="V184" s="66">
        <f t="shared" si="43"/>
        <v>0</v>
      </c>
      <c r="W184" s="61">
        <f t="shared" si="43"/>
        <v>0</v>
      </c>
      <c r="X184" s="66">
        <f t="shared" si="43"/>
        <v>0</v>
      </c>
      <c r="Y184" s="66">
        <f t="shared" si="43"/>
        <v>0</v>
      </c>
      <c r="Z184" s="66">
        <f t="shared" si="43"/>
        <v>0</v>
      </c>
      <c r="AA184" s="66">
        <f t="shared" si="43"/>
        <v>0</v>
      </c>
      <c r="AB184" s="61">
        <f t="shared" si="43"/>
        <v>0</v>
      </c>
      <c r="AC184" s="66">
        <f t="shared" si="43"/>
        <v>5</v>
      </c>
      <c r="AD184" s="66">
        <f t="shared" si="43"/>
        <v>0</v>
      </c>
      <c r="AE184" s="66">
        <f t="shared" si="43"/>
        <v>0</v>
      </c>
      <c r="AF184" s="66">
        <f t="shared" si="43"/>
        <v>0</v>
      </c>
      <c r="AG184" s="61">
        <f t="shared" si="43"/>
        <v>5</v>
      </c>
      <c r="AH184" s="66">
        <f t="shared" si="43"/>
        <v>5</v>
      </c>
      <c r="AI184" s="66">
        <f t="shared" si="43"/>
        <v>0</v>
      </c>
      <c r="AJ184" s="66">
        <f t="shared" si="43"/>
        <v>0</v>
      </c>
      <c r="AK184" s="66">
        <f t="shared" si="43"/>
        <v>0</v>
      </c>
      <c r="AL184" s="61">
        <f t="shared" si="43"/>
        <v>5</v>
      </c>
      <c r="AM184" s="68">
        <f t="shared" si="32"/>
        <v>50</v>
      </c>
    </row>
    <row r="185" spans="1:39" hidden="1" x14ac:dyDescent="0.35">
      <c r="A185" s="59" t="s">
        <v>305</v>
      </c>
      <c r="B185" s="54" t="s">
        <v>233</v>
      </c>
      <c r="C185" s="60" t="s">
        <v>225</v>
      </c>
      <c r="D185" s="60"/>
      <c r="E185" s="60"/>
      <c r="F185" s="60"/>
      <c r="G185" s="60"/>
      <c r="H185" s="61">
        <f>SUM(D185:G185)</f>
        <v>0</v>
      </c>
      <c r="I185" s="60"/>
      <c r="J185" s="60"/>
      <c r="K185" s="60"/>
      <c r="L185" s="60"/>
      <c r="M185" s="61">
        <f>SUM(I185:L185)</f>
        <v>0</v>
      </c>
      <c r="N185" s="60"/>
      <c r="O185" s="60"/>
      <c r="P185" s="60"/>
      <c r="Q185" s="60"/>
      <c r="R185" s="61">
        <f>SUM(N185:Q185)</f>
        <v>0</v>
      </c>
      <c r="S185" s="60"/>
      <c r="T185" s="60"/>
      <c r="U185" s="60"/>
      <c r="V185" s="60"/>
      <c r="W185" s="61">
        <f>SUM(S185:V185)</f>
        <v>0</v>
      </c>
      <c r="X185" s="60"/>
      <c r="Y185" s="60"/>
      <c r="Z185" s="60"/>
      <c r="AA185" s="60"/>
      <c r="AB185" s="61">
        <f>SUM(X185:AA185)</f>
        <v>0</v>
      </c>
      <c r="AC185" s="60"/>
      <c r="AD185" s="60"/>
      <c r="AE185" s="60"/>
      <c r="AF185" s="60"/>
      <c r="AG185" s="61">
        <f>SUM(AC185:AF185)</f>
        <v>0</v>
      </c>
      <c r="AH185" s="60"/>
      <c r="AI185" s="60"/>
      <c r="AJ185" s="60"/>
      <c r="AK185" s="60"/>
      <c r="AL185" s="61">
        <f>SUM(AH185:AK185)</f>
        <v>0</v>
      </c>
      <c r="AM185" s="68">
        <f t="shared" si="32"/>
        <v>0</v>
      </c>
    </row>
    <row r="186" spans="1:39" hidden="1" x14ac:dyDescent="0.35">
      <c r="A186" s="111" t="s">
        <v>234</v>
      </c>
      <c r="B186" s="54"/>
      <c r="C186" s="63" t="s">
        <v>227</v>
      </c>
      <c r="D186" s="63"/>
      <c r="E186" s="63"/>
      <c r="F186" s="63"/>
      <c r="G186" s="63"/>
      <c r="H186" s="61">
        <f>SUM(D186:G186)</f>
        <v>0</v>
      </c>
      <c r="I186" s="63"/>
      <c r="J186" s="63"/>
      <c r="K186" s="63"/>
      <c r="L186" s="63"/>
      <c r="M186" s="61">
        <f>SUM(I186:L186)</f>
        <v>0</v>
      </c>
      <c r="N186" s="63"/>
      <c r="O186" s="63"/>
      <c r="P186" s="63"/>
      <c r="Q186" s="63"/>
      <c r="R186" s="61">
        <f>SUM(N186:Q186)</f>
        <v>0</v>
      </c>
      <c r="S186" s="63"/>
      <c r="T186" s="63"/>
      <c r="U186" s="63"/>
      <c r="V186" s="63"/>
      <c r="W186" s="61">
        <f>SUM(S186:V186)</f>
        <v>0</v>
      </c>
      <c r="X186" s="63"/>
      <c r="Y186" s="63"/>
      <c r="Z186" s="63"/>
      <c r="AA186" s="63"/>
      <c r="AB186" s="61">
        <f>SUM(X186:AA186)</f>
        <v>0</v>
      </c>
      <c r="AC186" s="63"/>
      <c r="AD186" s="63"/>
      <c r="AE186" s="63"/>
      <c r="AF186" s="63"/>
      <c r="AG186" s="61">
        <f>SUM(AC186:AF186)</f>
        <v>0</v>
      </c>
      <c r="AH186" s="63"/>
      <c r="AI186" s="63"/>
      <c r="AJ186" s="63"/>
      <c r="AK186" s="63"/>
      <c r="AL186" s="61">
        <f>SUM(AH186:AK186)</f>
        <v>0</v>
      </c>
      <c r="AM186" s="68">
        <f t="shared" si="32"/>
        <v>0</v>
      </c>
    </row>
    <row r="187" spans="1:39" hidden="1" x14ac:dyDescent="0.35">
      <c r="A187" s="111"/>
      <c r="B187" s="54"/>
      <c r="C187" s="60" t="s">
        <v>228</v>
      </c>
      <c r="D187" s="60"/>
      <c r="E187" s="60"/>
      <c r="F187" s="60"/>
      <c r="G187" s="60"/>
      <c r="H187" s="61">
        <f>SUM(D187:G187)</f>
        <v>0</v>
      </c>
      <c r="I187" s="60"/>
      <c r="J187" s="60"/>
      <c r="K187" s="60"/>
      <c r="L187" s="60"/>
      <c r="M187" s="61">
        <f>SUM(I187:L187)</f>
        <v>0</v>
      </c>
      <c r="N187" s="60"/>
      <c r="O187" s="60"/>
      <c r="P187" s="60"/>
      <c r="Q187" s="60"/>
      <c r="R187" s="61">
        <f>SUM(N187:Q187)</f>
        <v>0</v>
      </c>
      <c r="S187" s="60"/>
      <c r="T187" s="60"/>
      <c r="U187" s="60"/>
      <c r="V187" s="60"/>
      <c r="W187" s="61">
        <f>SUM(S187:V187)</f>
        <v>0</v>
      </c>
      <c r="X187" s="60"/>
      <c r="Y187" s="60"/>
      <c r="Z187" s="60"/>
      <c r="AA187" s="60"/>
      <c r="AB187" s="61">
        <f>SUM(X187:AA187)</f>
        <v>0</v>
      </c>
      <c r="AC187" s="60"/>
      <c r="AD187" s="60"/>
      <c r="AE187" s="60"/>
      <c r="AF187" s="60"/>
      <c r="AG187" s="61">
        <f>SUM(AC187:AF187)</f>
        <v>0</v>
      </c>
      <c r="AH187" s="60"/>
      <c r="AI187" s="60"/>
      <c r="AJ187" s="60"/>
      <c r="AK187" s="60"/>
      <c r="AL187" s="61">
        <f>SUM(AH187:AK187)</f>
        <v>0</v>
      </c>
      <c r="AM187" s="68">
        <f t="shared" si="32"/>
        <v>0</v>
      </c>
    </row>
    <row r="188" spans="1:39" hidden="1" x14ac:dyDescent="0.35">
      <c r="A188" s="111"/>
      <c r="B188" s="54"/>
      <c r="C188" s="63" t="s">
        <v>235</v>
      </c>
      <c r="D188" s="63"/>
      <c r="E188" s="63"/>
      <c r="F188" s="63"/>
      <c r="G188" s="63"/>
      <c r="H188" s="61">
        <f>SUM(D188:G188)</f>
        <v>0</v>
      </c>
      <c r="I188" s="63"/>
      <c r="J188" s="63"/>
      <c r="K188" s="63"/>
      <c r="L188" s="63"/>
      <c r="M188" s="61">
        <f>SUM(I188:L188)</f>
        <v>0</v>
      </c>
      <c r="N188" s="63"/>
      <c r="O188" s="63"/>
      <c r="P188" s="63"/>
      <c r="Q188" s="63"/>
      <c r="R188" s="61">
        <f>SUM(N188:Q188)</f>
        <v>0</v>
      </c>
      <c r="S188" s="63"/>
      <c r="T188" s="63"/>
      <c r="U188" s="63"/>
      <c r="V188" s="63"/>
      <c r="W188" s="61">
        <f>SUM(S188:V188)</f>
        <v>0</v>
      </c>
      <c r="X188" s="63"/>
      <c r="Y188" s="63"/>
      <c r="Z188" s="63"/>
      <c r="AA188" s="63"/>
      <c r="AB188" s="61">
        <f>SUM(X188:AA188)</f>
        <v>0</v>
      </c>
      <c r="AC188" s="63"/>
      <c r="AD188" s="63"/>
      <c r="AE188" s="63"/>
      <c r="AF188" s="63"/>
      <c r="AG188" s="61">
        <f>SUM(AC188:AF188)</f>
        <v>0</v>
      </c>
      <c r="AH188" s="63"/>
      <c r="AI188" s="63"/>
      <c r="AJ188" s="63"/>
      <c r="AK188" s="63"/>
      <c r="AL188" s="61">
        <f>SUM(AH188:AK188)</f>
        <v>0</v>
      </c>
      <c r="AM188" s="68">
        <f t="shared" si="32"/>
        <v>0</v>
      </c>
    </row>
    <row r="189" spans="1:39" x14ac:dyDescent="0.35">
      <c r="A189" s="66" t="s">
        <v>305</v>
      </c>
      <c r="B189" s="67" t="s">
        <v>233</v>
      </c>
      <c r="C189" s="66"/>
      <c r="D189" s="66">
        <f t="shared" ref="D189:AL189" si="44">SUM(D185:D188)</f>
        <v>0</v>
      </c>
      <c r="E189" s="66">
        <f t="shared" si="44"/>
        <v>0</v>
      </c>
      <c r="F189" s="66">
        <f t="shared" si="44"/>
        <v>0</v>
      </c>
      <c r="G189" s="66">
        <f t="shared" si="44"/>
        <v>0</v>
      </c>
      <c r="H189" s="61">
        <f t="shared" si="44"/>
        <v>0</v>
      </c>
      <c r="I189" s="66">
        <f t="shared" si="44"/>
        <v>0</v>
      </c>
      <c r="J189" s="66">
        <f t="shared" si="44"/>
        <v>0</v>
      </c>
      <c r="K189" s="66">
        <f t="shared" si="44"/>
        <v>0</v>
      </c>
      <c r="L189" s="66">
        <f t="shared" si="44"/>
        <v>0</v>
      </c>
      <c r="M189" s="61">
        <f t="shared" si="44"/>
        <v>0</v>
      </c>
      <c r="N189" s="66">
        <f t="shared" si="44"/>
        <v>0</v>
      </c>
      <c r="O189" s="66">
        <f t="shared" si="44"/>
        <v>0</v>
      </c>
      <c r="P189" s="66">
        <f t="shared" si="44"/>
        <v>0</v>
      </c>
      <c r="Q189" s="66">
        <f t="shared" si="44"/>
        <v>0</v>
      </c>
      <c r="R189" s="61">
        <f t="shared" si="44"/>
        <v>0</v>
      </c>
      <c r="S189" s="66">
        <f t="shared" si="44"/>
        <v>0</v>
      </c>
      <c r="T189" s="66">
        <f t="shared" si="44"/>
        <v>0</v>
      </c>
      <c r="U189" s="66">
        <f t="shared" si="44"/>
        <v>0</v>
      </c>
      <c r="V189" s="66">
        <f t="shared" si="44"/>
        <v>0</v>
      </c>
      <c r="W189" s="61">
        <f t="shared" si="44"/>
        <v>0</v>
      </c>
      <c r="X189" s="66">
        <f t="shared" si="44"/>
        <v>0</v>
      </c>
      <c r="Y189" s="66">
        <f t="shared" si="44"/>
        <v>0</v>
      </c>
      <c r="Z189" s="66">
        <f t="shared" si="44"/>
        <v>0</v>
      </c>
      <c r="AA189" s="66">
        <f t="shared" si="44"/>
        <v>0</v>
      </c>
      <c r="AB189" s="61">
        <f t="shared" si="44"/>
        <v>0</v>
      </c>
      <c r="AC189" s="66">
        <f t="shared" si="44"/>
        <v>0</v>
      </c>
      <c r="AD189" s="66">
        <f t="shared" si="44"/>
        <v>0</v>
      </c>
      <c r="AE189" s="66">
        <f t="shared" si="44"/>
        <v>0</v>
      </c>
      <c r="AF189" s="66">
        <f t="shared" si="44"/>
        <v>0</v>
      </c>
      <c r="AG189" s="61">
        <f t="shared" si="44"/>
        <v>0</v>
      </c>
      <c r="AH189" s="66">
        <f t="shared" si="44"/>
        <v>0</v>
      </c>
      <c r="AI189" s="66">
        <f t="shared" si="44"/>
        <v>0</v>
      </c>
      <c r="AJ189" s="66">
        <f t="shared" si="44"/>
        <v>0</v>
      </c>
      <c r="AK189" s="66">
        <f t="shared" si="44"/>
        <v>0</v>
      </c>
      <c r="AL189" s="61">
        <f t="shared" si="44"/>
        <v>0</v>
      </c>
      <c r="AM189" s="68">
        <f t="shared" si="32"/>
        <v>0</v>
      </c>
    </row>
    <row r="190" spans="1:39" hidden="1" x14ac:dyDescent="0.35">
      <c r="A190" s="59" t="s">
        <v>306</v>
      </c>
      <c r="B190" s="54" t="s">
        <v>307</v>
      </c>
      <c r="C190" s="60" t="s">
        <v>225</v>
      </c>
      <c r="D190" s="60">
        <v>9</v>
      </c>
      <c r="E190" s="60"/>
      <c r="F190" s="60"/>
      <c r="G190" s="60"/>
      <c r="H190" s="61">
        <f>SUM(D190:G190)</f>
        <v>9</v>
      </c>
      <c r="I190" s="60"/>
      <c r="J190" s="60"/>
      <c r="K190" s="60"/>
      <c r="L190" s="60"/>
      <c r="M190" s="61">
        <f>SUM(I190:L190)</f>
        <v>0</v>
      </c>
      <c r="N190" s="60">
        <v>2</v>
      </c>
      <c r="O190" s="60"/>
      <c r="P190" s="60"/>
      <c r="Q190" s="60"/>
      <c r="R190" s="61">
        <f>SUM(N190:Q190)</f>
        <v>2</v>
      </c>
      <c r="S190" s="60"/>
      <c r="T190" s="60"/>
      <c r="U190" s="60"/>
      <c r="V190" s="60"/>
      <c r="W190" s="61">
        <f>SUM(S190:V190)</f>
        <v>0</v>
      </c>
      <c r="X190" s="60"/>
      <c r="Y190" s="60"/>
      <c r="Z190" s="60"/>
      <c r="AA190" s="60"/>
      <c r="AB190" s="61">
        <f>SUM(X190:AA190)</f>
        <v>0</v>
      </c>
      <c r="AC190" s="60"/>
      <c r="AD190" s="60"/>
      <c r="AE190" s="60"/>
      <c r="AF190" s="60"/>
      <c r="AG190" s="61">
        <f>SUM(AC190:AF190)</f>
        <v>0</v>
      </c>
      <c r="AH190" s="60"/>
      <c r="AI190" s="60"/>
      <c r="AJ190" s="60"/>
      <c r="AK190" s="60"/>
      <c r="AL190" s="61">
        <f>SUM(AH190:AK190)</f>
        <v>0</v>
      </c>
      <c r="AM190" s="68">
        <f t="shared" si="32"/>
        <v>11</v>
      </c>
    </row>
    <row r="191" spans="1:39" hidden="1" x14ac:dyDescent="0.35">
      <c r="A191" s="111" t="s">
        <v>245</v>
      </c>
      <c r="B191" s="54"/>
      <c r="C191" s="63" t="s">
        <v>227</v>
      </c>
      <c r="D191" s="63">
        <v>5</v>
      </c>
      <c r="E191" s="63"/>
      <c r="F191" s="63"/>
      <c r="G191" s="63"/>
      <c r="H191" s="61">
        <f>SUM(D191:G191)</f>
        <v>5</v>
      </c>
      <c r="I191" s="63"/>
      <c r="J191" s="63"/>
      <c r="K191" s="63"/>
      <c r="L191" s="63"/>
      <c r="M191" s="61">
        <f>SUM(I191:L191)</f>
        <v>0</v>
      </c>
      <c r="N191" s="63">
        <v>2</v>
      </c>
      <c r="O191" s="63"/>
      <c r="P191" s="63"/>
      <c r="Q191" s="63"/>
      <c r="R191" s="61">
        <f>SUM(N191:Q191)</f>
        <v>2</v>
      </c>
      <c r="S191" s="63"/>
      <c r="T191" s="63"/>
      <c r="U191" s="63"/>
      <c r="V191" s="63"/>
      <c r="W191" s="61">
        <f>SUM(S191:V191)</f>
        <v>0</v>
      </c>
      <c r="X191" s="63"/>
      <c r="Y191" s="63"/>
      <c r="Z191" s="63"/>
      <c r="AA191" s="63"/>
      <c r="AB191" s="61">
        <f>SUM(X191:AA191)</f>
        <v>0</v>
      </c>
      <c r="AC191" s="63"/>
      <c r="AD191" s="63"/>
      <c r="AE191" s="63"/>
      <c r="AF191" s="63"/>
      <c r="AG191" s="61">
        <f>SUM(AC191:AF191)</f>
        <v>0</v>
      </c>
      <c r="AH191" s="63"/>
      <c r="AI191" s="63"/>
      <c r="AJ191" s="63"/>
      <c r="AK191" s="63"/>
      <c r="AL191" s="61">
        <f>SUM(AH191:AK191)</f>
        <v>0</v>
      </c>
      <c r="AM191" s="68">
        <f t="shared" si="32"/>
        <v>7</v>
      </c>
    </row>
    <row r="192" spans="1:39" hidden="1" x14ac:dyDescent="0.35">
      <c r="A192" s="111"/>
      <c r="B192" s="54"/>
      <c r="C192" s="60" t="s">
        <v>228</v>
      </c>
      <c r="D192" s="60">
        <v>7</v>
      </c>
      <c r="E192" s="60"/>
      <c r="F192" s="60"/>
      <c r="G192" s="60"/>
      <c r="H192" s="61">
        <f>SUM(D192:G192)</f>
        <v>7</v>
      </c>
      <c r="I192" s="60"/>
      <c r="J192" s="60"/>
      <c r="K192" s="60"/>
      <c r="L192" s="60"/>
      <c r="M192" s="61">
        <f>SUM(I192:L192)</f>
        <v>0</v>
      </c>
      <c r="N192" s="60">
        <v>2</v>
      </c>
      <c r="O192" s="60"/>
      <c r="P192" s="60"/>
      <c r="Q192" s="60"/>
      <c r="R192" s="61">
        <f>SUM(N192:Q192)</f>
        <v>2</v>
      </c>
      <c r="S192" s="60"/>
      <c r="T192" s="60"/>
      <c r="U192" s="60"/>
      <c r="V192" s="60"/>
      <c r="W192" s="61">
        <f>SUM(S192:V192)</f>
        <v>0</v>
      </c>
      <c r="X192" s="60"/>
      <c r="Y192" s="60"/>
      <c r="Z192" s="60"/>
      <c r="AA192" s="60"/>
      <c r="AB192" s="61">
        <f>SUM(X192:AA192)</f>
        <v>0</v>
      </c>
      <c r="AC192" s="60"/>
      <c r="AD192" s="60"/>
      <c r="AE192" s="60"/>
      <c r="AF192" s="60"/>
      <c r="AG192" s="61">
        <f>SUM(AC192:AF192)</f>
        <v>0</v>
      </c>
      <c r="AH192" s="60"/>
      <c r="AI192" s="60"/>
      <c r="AJ192" s="60"/>
      <c r="AK192" s="60"/>
      <c r="AL192" s="61">
        <f>SUM(AH192:AK192)</f>
        <v>0</v>
      </c>
      <c r="AM192" s="68">
        <f t="shared" si="32"/>
        <v>9</v>
      </c>
    </row>
    <row r="193" spans="1:39" hidden="1" x14ac:dyDescent="0.35">
      <c r="A193" s="111"/>
      <c r="B193" s="54"/>
      <c r="C193" s="63" t="s">
        <v>235</v>
      </c>
      <c r="D193" s="63">
        <v>5</v>
      </c>
      <c r="E193" s="63"/>
      <c r="F193" s="63"/>
      <c r="G193" s="63"/>
      <c r="H193" s="61">
        <f>SUM(D193:G193)</f>
        <v>5</v>
      </c>
      <c r="I193" s="63"/>
      <c r="J193" s="63"/>
      <c r="K193" s="63"/>
      <c r="L193" s="63"/>
      <c r="M193" s="61">
        <f>SUM(I193:L193)</f>
        <v>0</v>
      </c>
      <c r="N193" s="63"/>
      <c r="O193" s="63"/>
      <c r="P193" s="63"/>
      <c r="Q193" s="63"/>
      <c r="R193" s="61">
        <f>SUM(N193:Q193)</f>
        <v>0</v>
      </c>
      <c r="S193" s="63"/>
      <c r="T193" s="63"/>
      <c r="U193" s="63"/>
      <c r="V193" s="63"/>
      <c r="W193" s="61">
        <f>SUM(S193:V193)</f>
        <v>0</v>
      </c>
      <c r="X193" s="63"/>
      <c r="Y193" s="63"/>
      <c r="Z193" s="63"/>
      <c r="AA193" s="63"/>
      <c r="AB193" s="61">
        <f>SUM(X193:AA193)</f>
        <v>0</v>
      </c>
      <c r="AC193" s="63"/>
      <c r="AD193" s="63"/>
      <c r="AE193" s="63"/>
      <c r="AF193" s="63"/>
      <c r="AG193" s="61">
        <f>SUM(AC193:AF193)</f>
        <v>0</v>
      </c>
      <c r="AH193" s="63"/>
      <c r="AI193" s="63"/>
      <c r="AJ193" s="63"/>
      <c r="AK193" s="63"/>
      <c r="AL193" s="61">
        <f>SUM(AH193:AK193)</f>
        <v>0</v>
      </c>
      <c r="AM193" s="68">
        <f t="shared" si="32"/>
        <v>5</v>
      </c>
    </row>
    <row r="194" spans="1:39" hidden="1" x14ac:dyDescent="0.35">
      <c r="A194" s="66" t="s">
        <v>245</v>
      </c>
      <c r="B194" s="67" t="s">
        <v>307</v>
      </c>
      <c r="C194" s="66"/>
      <c r="D194" s="66">
        <f t="shared" ref="D194:AL194" si="45">SUM(D190:D193)</f>
        <v>26</v>
      </c>
      <c r="E194" s="66">
        <f t="shared" si="45"/>
        <v>0</v>
      </c>
      <c r="F194" s="66">
        <f t="shared" si="45"/>
        <v>0</v>
      </c>
      <c r="G194" s="66">
        <f t="shared" si="45"/>
        <v>0</v>
      </c>
      <c r="H194" s="61">
        <f t="shared" si="45"/>
        <v>26</v>
      </c>
      <c r="I194" s="66">
        <f t="shared" si="45"/>
        <v>0</v>
      </c>
      <c r="J194" s="66">
        <f t="shared" si="45"/>
        <v>0</v>
      </c>
      <c r="K194" s="66">
        <f t="shared" si="45"/>
        <v>0</v>
      </c>
      <c r="L194" s="66">
        <f t="shared" si="45"/>
        <v>0</v>
      </c>
      <c r="M194" s="61">
        <f t="shared" si="45"/>
        <v>0</v>
      </c>
      <c r="N194" s="66">
        <f t="shared" si="45"/>
        <v>6</v>
      </c>
      <c r="O194" s="66">
        <f t="shared" si="45"/>
        <v>0</v>
      </c>
      <c r="P194" s="66">
        <f t="shared" si="45"/>
        <v>0</v>
      </c>
      <c r="Q194" s="66">
        <f t="shared" si="45"/>
        <v>0</v>
      </c>
      <c r="R194" s="61">
        <f t="shared" si="45"/>
        <v>6</v>
      </c>
      <c r="S194" s="66">
        <f t="shared" si="45"/>
        <v>0</v>
      </c>
      <c r="T194" s="66">
        <f t="shared" si="45"/>
        <v>0</v>
      </c>
      <c r="U194" s="66">
        <f t="shared" si="45"/>
        <v>0</v>
      </c>
      <c r="V194" s="66">
        <f t="shared" si="45"/>
        <v>0</v>
      </c>
      <c r="W194" s="61">
        <f t="shared" si="45"/>
        <v>0</v>
      </c>
      <c r="X194" s="66">
        <f t="shared" si="45"/>
        <v>0</v>
      </c>
      <c r="Y194" s="66">
        <f t="shared" si="45"/>
        <v>0</v>
      </c>
      <c r="Z194" s="66">
        <f t="shared" si="45"/>
        <v>0</v>
      </c>
      <c r="AA194" s="66">
        <f t="shared" si="45"/>
        <v>0</v>
      </c>
      <c r="AB194" s="61">
        <f t="shared" si="45"/>
        <v>0</v>
      </c>
      <c r="AC194" s="66">
        <f t="shared" si="45"/>
        <v>0</v>
      </c>
      <c r="AD194" s="66">
        <f t="shared" si="45"/>
        <v>0</v>
      </c>
      <c r="AE194" s="66">
        <f t="shared" si="45"/>
        <v>0</v>
      </c>
      <c r="AF194" s="66">
        <f t="shared" si="45"/>
        <v>0</v>
      </c>
      <c r="AG194" s="61">
        <f t="shared" si="45"/>
        <v>0</v>
      </c>
      <c r="AH194" s="66">
        <f t="shared" si="45"/>
        <v>0</v>
      </c>
      <c r="AI194" s="66">
        <f t="shared" si="45"/>
        <v>0</v>
      </c>
      <c r="AJ194" s="66">
        <f t="shared" si="45"/>
        <v>0</v>
      </c>
      <c r="AK194" s="66">
        <f t="shared" si="45"/>
        <v>0</v>
      </c>
      <c r="AL194" s="61">
        <f t="shared" si="45"/>
        <v>0</v>
      </c>
      <c r="AM194" s="68">
        <f t="shared" si="32"/>
        <v>32</v>
      </c>
    </row>
    <row r="195" spans="1:39" hidden="1" x14ac:dyDescent="0.35">
      <c r="A195" s="116" t="s">
        <v>397</v>
      </c>
      <c r="B195" s="54"/>
      <c r="C195" s="60" t="s">
        <v>225</v>
      </c>
      <c r="D195" s="60"/>
      <c r="E195" s="60"/>
      <c r="F195" s="60"/>
      <c r="G195" s="60"/>
      <c r="H195" s="61">
        <f>SUM(D195:G195)</f>
        <v>0</v>
      </c>
      <c r="I195" s="60"/>
      <c r="J195" s="60"/>
      <c r="K195" s="60"/>
      <c r="L195" s="60"/>
      <c r="M195" s="61">
        <f>SUM(I195:L195)</f>
        <v>0</v>
      </c>
      <c r="N195" s="60"/>
      <c r="O195" s="60"/>
      <c r="P195" s="60"/>
      <c r="Q195" s="60"/>
      <c r="R195" s="61">
        <f>SUM(N195:Q195)</f>
        <v>0</v>
      </c>
      <c r="S195" s="60"/>
      <c r="T195" s="60"/>
      <c r="U195" s="60"/>
      <c r="V195" s="60"/>
      <c r="W195" s="61">
        <f>SUM(S195:V195)</f>
        <v>0</v>
      </c>
      <c r="X195" s="60"/>
      <c r="Y195" s="60"/>
      <c r="Z195" s="60"/>
      <c r="AA195" s="60"/>
      <c r="AB195" s="61">
        <f>SUM(X195:AA195)</f>
        <v>0</v>
      </c>
      <c r="AC195" s="60"/>
      <c r="AD195" s="60"/>
      <c r="AE195" s="60"/>
      <c r="AF195" s="60"/>
      <c r="AG195" s="61">
        <f>SUM(AC195:AF195)</f>
        <v>0</v>
      </c>
      <c r="AH195" s="60"/>
      <c r="AI195" s="60"/>
      <c r="AJ195" s="60"/>
      <c r="AK195" s="60"/>
      <c r="AL195" s="61">
        <f>SUM(AH195:AK195)</f>
        <v>0</v>
      </c>
      <c r="AM195" s="68">
        <f t="shared" si="32"/>
        <v>0</v>
      </c>
    </row>
    <row r="196" spans="1:39" hidden="1" x14ac:dyDescent="0.35">
      <c r="A196" s="111"/>
      <c r="B196" s="54"/>
      <c r="C196" s="63" t="s">
        <v>227</v>
      </c>
      <c r="D196" s="63"/>
      <c r="E196" s="63"/>
      <c r="F196" s="63"/>
      <c r="G196" s="63"/>
      <c r="H196" s="61">
        <f>SUM(D196:G196)</f>
        <v>0</v>
      </c>
      <c r="I196" s="63"/>
      <c r="J196" s="63"/>
      <c r="K196" s="63"/>
      <c r="L196" s="63"/>
      <c r="M196" s="61">
        <f>SUM(I196:L196)</f>
        <v>0</v>
      </c>
      <c r="N196" s="63"/>
      <c r="O196" s="63"/>
      <c r="P196" s="63"/>
      <c r="Q196" s="63"/>
      <c r="R196" s="61">
        <f>SUM(N196:Q196)</f>
        <v>0</v>
      </c>
      <c r="S196" s="63"/>
      <c r="T196" s="63"/>
      <c r="U196" s="63"/>
      <c r="V196" s="63"/>
      <c r="W196" s="61">
        <f>SUM(S196:V196)</f>
        <v>0</v>
      </c>
      <c r="X196" s="63"/>
      <c r="Y196" s="63"/>
      <c r="Z196" s="63"/>
      <c r="AA196" s="63"/>
      <c r="AB196" s="61">
        <f>SUM(X196:AA196)</f>
        <v>0</v>
      </c>
      <c r="AC196" s="63"/>
      <c r="AD196" s="63"/>
      <c r="AE196" s="63"/>
      <c r="AF196" s="63"/>
      <c r="AG196" s="61">
        <f>SUM(AC196:AF196)</f>
        <v>0</v>
      </c>
      <c r="AH196" s="63"/>
      <c r="AI196" s="63"/>
      <c r="AJ196" s="63"/>
      <c r="AK196" s="63"/>
      <c r="AL196" s="61">
        <f>SUM(AH196:AK196)</f>
        <v>0</v>
      </c>
      <c r="AM196" s="68">
        <f t="shared" si="32"/>
        <v>0</v>
      </c>
    </row>
    <row r="197" spans="1:39" hidden="1" x14ac:dyDescent="0.35">
      <c r="A197" s="85"/>
      <c r="B197" s="54"/>
      <c r="C197" s="60" t="s">
        <v>228</v>
      </c>
      <c r="D197" s="60"/>
      <c r="E197" s="60"/>
      <c r="F197" s="60"/>
      <c r="G197" s="60"/>
      <c r="H197" s="61">
        <f>SUM(D197:G197)</f>
        <v>0</v>
      </c>
      <c r="I197" s="60"/>
      <c r="J197" s="60"/>
      <c r="K197" s="60"/>
      <c r="L197" s="60"/>
      <c r="M197" s="61">
        <f>SUM(I197:L197)</f>
        <v>0</v>
      </c>
      <c r="N197" s="60"/>
      <c r="O197" s="60"/>
      <c r="P197" s="60"/>
      <c r="Q197" s="60"/>
      <c r="R197" s="61">
        <f>SUM(N197:Q197)</f>
        <v>0</v>
      </c>
      <c r="S197" s="60"/>
      <c r="T197" s="60"/>
      <c r="U197" s="60"/>
      <c r="V197" s="60"/>
      <c r="W197" s="61">
        <f>SUM(S197:V197)</f>
        <v>0</v>
      </c>
      <c r="X197" s="60"/>
      <c r="Y197" s="60"/>
      <c r="Z197" s="60"/>
      <c r="AA197" s="60"/>
      <c r="AB197" s="61">
        <f>SUM(X197:AA197)</f>
        <v>0</v>
      </c>
      <c r="AC197" s="60"/>
      <c r="AD197" s="60"/>
      <c r="AE197" s="60"/>
      <c r="AF197" s="60"/>
      <c r="AG197" s="61">
        <f>SUM(AC197:AF197)</f>
        <v>0</v>
      </c>
      <c r="AH197" s="60"/>
      <c r="AI197" s="60"/>
      <c r="AJ197" s="60"/>
      <c r="AK197" s="60"/>
      <c r="AL197" s="61">
        <f>SUM(AH197:AK197)</f>
        <v>0</v>
      </c>
      <c r="AM197" s="68">
        <f t="shared" ref="AM197:AM260" si="46">SUM(H197,M197,R197,W197,AB197,AG197,AL197)</f>
        <v>0</v>
      </c>
    </row>
    <row r="198" spans="1:39" hidden="1" x14ac:dyDescent="0.35">
      <c r="A198" s="85"/>
      <c r="B198" s="54"/>
      <c r="C198" s="63" t="s">
        <v>235</v>
      </c>
      <c r="D198" s="63"/>
      <c r="E198" s="63"/>
      <c r="F198" s="63"/>
      <c r="G198" s="63"/>
      <c r="H198" s="61">
        <f>SUM(D198:G198)</f>
        <v>0</v>
      </c>
      <c r="I198" s="63"/>
      <c r="J198" s="63"/>
      <c r="K198" s="63"/>
      <c r="L198" s="63"/>
      <c r="M198" s="61">
        <f>SUM(I198:L198)</f>
        <v>0</v>
      </c>
      <c r="N198" s="63"/>
      <c r="O198" s="63"/>
      <c r="P198" s="63"/>
      <c r="Q198" s="63"/>
      <c r="R198" s="61">
        <f>SUM(N198:Q198)</f>
        <v>0</v>
      </c>
      <c r="S198" s="63"/>
      <c r="T198" s="63"/>
      <c r="U198" s="63"/>
      <c r="V198" s="63"/>
      <c r="W198" s="61">
        <f>SUM(S198:V198)</f>
        <v>0</v>
      </c>
      <c r="X198" s="63"/>
      <c r="Y198" s="63"/>
      <c r="Z198" s="63"/>
      <c r="AA198" s="63"/>
      <c r="AB198" s="61">
        <f>SUM(X198:AA198)</f>
        <v>0</v>
      </c>
      <c r="AC198" s="63"/>
      <c r="AD198" s="63"/>
      <c r="AE198" s="63"/>
      <c r="AF198" s="63"/>
      <c r="AG198" s="61">
        <f>SUM(AC198:AF198)</f>
        <v>0</v>
      </c>
      <c r="AH198" s="63"/>
      <c r="AI198" s="63"/>
      <c r="AJ198" s="63"/>
      <c r="AK198" s="63"/>
      <c r="AL198" s="61">
        <f>SUM(AH198:AK198)</f>
        <v>0</v>
      </c>
      <c r="AM198" s="68">
        <f t="shared" si="46"/>
        <v>0</v>
      </c>
    </row>
    <row r="199" spans="1:39" hidden="1" x14ac:dyDescent="0.35">
      <c r="A199" s="76" t="s">
        <v>397</v>
      </c>
      <c r="B199" s="67" t="s">
        <v>307</v>
      </c>
      <c r="C199" s="66"/>
      <c r="D199" s="66">
        <f t="shared" ref="D199:AL199" si="47">SUM(D195:D198)</f>
        <v>0</v>
      </c>
      <c r="E199" s="66">
        <f t="shared" si="47"/>
        <v>0</v>
      </c>
      <c r="F199" s="66">
        <f t="shared" si="47"/>
        <v>0</v>
      </c>
      <c r="G199" s="66">
        <f t="shared" si="47"/>
        <v>0</v>
      </c>
      <c r="H199" s="61">
        <f t="shared" si="47"/>
        <v>0</v>
      </c>
      <c r="I199" s="66">
        <f t="shared" si="47"/>
        <v>0</v>
      </c>
      <c r="J199" s="66">
        <f t="shared" si="47"/>
        <v>0</v>
      </c>
      <c r="K199" s="66">
        <f t="shared" si="47"/>
        <v>0</v>
      </c>
      <c r="L199" s="66">
        <f t="shared" si="47"/>
        <v>0</v>
      </c>
      <c r="M199" s="61">
        <f t="shared" si="47"/>
        <v>0</v>
      </c>
      <c r="N199" s="66">
        <f t="shared" si="47"/>
        <v>0</v>
      </c>
      <c r="O199" s="66">
        <f t="shared" si="47"/>
        <v>0</v>
      </c>
      <c r="P199" s="66">
        <f t="shared" si="47"/>
        <v>0</v>
      </c>
      <c r="Q199" s="66">
        <f t="shared" si="47"/>
        <v>0</v>
      </c>
      <c r="R199" s="61">
        <f t="shared" si="47"/>
        <v>0</v>
      </c>
      <c r="S199" s="66">
        <f t="shared" si="47"/>
        <v>0</v>
      </c>
      <c r="T199" s="66">
        <f t="shared" si="47"/>
        <v>0</v>
      </c>
      <c r="U199" s="66">
        <f t="shared" si="47"/>
        <v>0</v>
      </c>
      <c r="V199" s="66">
        <f t="shared" si="47"/>
        <v>0</v>
      </c>
      <c r="W199" s="61">
        <f t="shared" si="47"/>
        <v>0</v>
      </c>
      <c r="X199" s="66">
        <f t="shared" si="47"/>
        <v>0</v>
      </c>
      <c r="Y199" s="66">
        <f t="shared" si="47"/>
        <v>0</v>
      </c>
      <c r="Z199" s="66">
        <f t="shared" si="47"/>
        <v>0</v>
      </c>
      <c r="AA199" s="66">
        <f t="shared" si="47"/>
        <v>0</v>
      </c>
      <c r="AB199" s="61">
        <f t="shared" si="47"/>
        <v>0</v>
      </c>
      <c r="AC199" s="66">
        <f t="shared" si="47"/>
        <v>0</v>
      </c>
      <c r="AD199" s="66">
        <f t="shared" si="47"/>
        <v>0</v>
      </c>
      <c r="AE199" s="66">
        <f t="shared" si="47"/>
        <v>0</v>
      </c>
      <c r="AF199" s="66">
        <f t="shared" si="47"/>
        <v>0</v>
      </c>
      <c r="AG199" s="61">
        <f t="shared" si="47"/>
        <v>0</v>
      </c>
      <c r="AH199" s="66">
        <f t="shared" si="47"/>
        <v>0</v>
      </c>
      <c r="AI199" s="66">
        <f t="shared" si="47"/>
        <v>0</v>
      </c>
      <c r="AJ199" s="66">
        <f t="shared" si="47"/>
        <v>0</v>
      </c>
      <c r="AK199" s="66">
        <f t="shared" si="47"/>
        <v>0</v>
      </c>
      <c r="AL199" s="61">
        <f t="shared" si="47"/>
        <v>0</v>
      </c>
      <c r="AM199" s="68">
        <f t="shared" si="46"/>
        <v>0</v>
      </c>
    </row>
    <row r="200" spans="1:39" hidden="1" x14ac:dyDescent="0.35">
      <c r="A200" s="116" t="s">
        <v>401</v>
      </c>
      <c r="B200" s="54"/>
      <c r="C200" s="60" t="s">
        <v>225</v>
      </c>
      <c r="D200" s="60"/>
      <c r="E200" s="60"/>
      <c r="F200" s="60"/>
      <c r="G200" s="60"/>
      <c r="H200" s="61">
        <f>SUM(D200:G200)</f>
        <v>0</v>
      </c>
      <c r="I200" s="60"/>
      <c r="J200" s="60"/>
      <c r="K200" s="60"/>
      <c r="L200" s="60"/>
      <c r="M200" s="61">
        <f>SUM(I200:L200)</f>
        <v>0</v>
      </c>
      <c r="N200" s="60"/>
      <c r="O200" s="60"/>
      <c r="P200" s="60"/>
      <c r="Q200" s="60"/>
      <c r="R200" s="61">
        <f>SUM(N200:Q200)</f>
        <v>0</v>
      </c>
      <c r="S200" s="60"/>
      <c r="T200" s="60"/>
      <c r="U200" s="60"/>
      <c r="V200" s="60"/>
      <c r="W200" s="61">
        <f>SUM(S200:V200)</f>
        <v>0</v>
      </c>
      <c r="X200" s="60"/>
      <c r="Y200" s="60"/>
      <c r="Z200" s="60"/>
      <c r="AA200" s="60"/>
      <c r="AB200" s="61">
        <f>SUM(X200:AA200)</f>
        <v>0</v>
      </c>
      <c r="AC200" s="60"/>
      <c r="AD200" s="60"/>
      <c r="AE200" s="60"/>
      <c r="AF200" s="60"/>
      <c r="AG200" s="61">
        <f>SUM(AC200:AF200)</f>
        <v>0</v>
      </c>
      <c r="AH200" s="60"/>
      <c r="AI200" s="60"/>
      <c r="AJ200" s="60"/>
      <c r="AK200" s="60"/>
      <c r="AL200" s="61">
        <f>SUM(AH200:AK200)</f>
        <v>0</v>
      </c>
      <c r="AM200" s="68">
        <f t="shared" si="46"/>
        <v>0</v>
      </c>
    </row>
    <row r="201" spans="1:39" hidden="1" x14ac:dyDescent="0.35">
      <c r="A201" s="111"/>
      <c r="B201" s="54"/>
      <c r="C201" s="63" t="s">
        <v>227</v>
      </c>
      <c r="D201" s="63"/>
      <c r="E201" s="63"/>
      <c r="F201" s="63"/>
      <c r="G201" s="63"/>
      <c r="H201" s="61">
        <f>SUM(D201:G201)</f>
        <v>0</v>
      </c>
      <c r="I201" s="63"/>
      <c r="J201" s="63"/>
      <c r="K201" s="63"/>
      <c r="L201" s="63"/>
      <c r="M201" s="61">
        <f>SUM(I201:L201)</f>
        <v>0</v>
      </c>
      <c r="N201" s="63"/>
      <c r="O201" s="63"/>
      <c r="P201" s="63"/>
      <c r="Q201" s="63"/>
      <c r="R201" s="61">
        <f>SUM(N201:Q201)</f>
        <v>0</v>
      </c>
      <c r="S201" s="63"/>
      <c r="T201" s="63"/>
      <c r="U201" s="63"/>
      <c r="V201" s="63"/>
      <c r="W201" s="61">
        <f>SUM(S201:V201)</f>
        <v>0</v>
      </c>
      <c r="X201" s="63"/>
      <c r="Y201" s="63"/>
      <c r="Z201" s="63"/>
      <c r="AA201" s="63"/>
      <c r="AB201" s="61">
        <f>SUM(X201:AA201)</f>
        <v>0</v>
      </c>
      <c r="AC201" s="63"/>
      <c r="AD201" s="63"/>
      <c r="AE201" s="63"/>
      <c r="AF201" s="63"/>
      <c r="AG201" s="61">
        <f>SUM(AC201:AF201)</f>
        <v>0</v>
      </c>
      <c r="AH201" s="63"/>
      <c r="AI201" s="63"/>
      <c r="AJ201" s="63"/>
      <c r="AK201" s="63"/>
      <c r="AL201" s="61">
        <f>SUM(AH201:AK201)</f>
        <v>0</v>
      </c>
      <c r="AM201" s="68">
        <f t="shared" si="46"/>
        <v>0</v>
      </c>
    </row>
    <row r="202" spans="1:39" hidden="1" x14ac:dyDescent="0.35">
      <c r="A202" s="85"/>
      <c r="B202" s="54"/>
      <c r="C202" s="60" t="s">
        <v>228</v>
      </c>
      <c r="D202" s="60"/>
      <c r="E202" s="60"/>
      <c r="F202" s="60"/>
      <c r="G202" s="60"/>
      <c r="H202" s="61">
        <f>SUM(D202:G202)</f>
        <v>0</v>
      </c>
      <c r="I202" s="60"/>
      <c r="J202" s="60"/>
      <c r="K202" s="60"/>
      <c r="L202" s="60"/>
      <c r="M202" s="61">
        <f>SUM(I202:L202)</f>
        <v>0</v>
      </c>
      <c r="N202" s="60"/>
      <c r="O202" s="60"/>
      <c r="P202" s="60"/>
      <c r="Q202" s="60"/>
      <c r="R202" s="61">
        <f>SUM(N202:Q202)</f>
        <v>0</v>
      </c>
      <c r="S202" s="60"/>
      <c r="T202" s="60"/>
      <c r="U202" s="60"/>
      <c r="V202" s="60"/>
      <c r="W202" s="61">
        <f>SUM(S202:V202)</f>
        <v>0</v>
      </c>
      <c r="X202" s="60"/>
      <c r="Y202" s="60"/>
      <c r="Z202" s="60"/>
      <c r="AA202" s="60"/>
      <c r="AB202" s="61">
        <f>SUM(X202:AA202)</f>
        <v>0</v>
      </c>
      <c r="AC202" s="60"/>
      <c r="AD202" s="60"/>
      <c r="AE202" s="60"/>
      <c r="AF202" s="60"/>
      <c r="AG202" s="61">
        <f>SUM(AC202:AF202)</f>
        <v>0</v>
      </c>
      <c r="AH202" s="60"/>
      <c r="AI202" s="60"/>
      <c r="AJ202" s="60"/>
      <c r="AK202" s="60"/>
      <c r="AL202" s="61">
        <f>SUM(AH202:AK202)</f>
        <v>0</v>
      </c>
      <c r="AM202" s="68">
        <f t="shared" si="46"/>
        <v>0</v>
      </c>
    </row>
    <row r="203" spans="1:39" hidden="1" x14ac:dyDescent="0.35">
      <c r="A203" s="85"/>
      <c r="B203" s="54"/>
      <c r="C203" s="63" t="s">
        <v>235</v>
      </c>
      <c r="D203" s="63"/>
      <c r="E203" s="63"/>
      <c r="F203" s="63"/>
      <c r="G203" s="63"/>
      <c r="H203" s="61">
        <f>SUM(D203:G203)</f>
        <v>0</v>
      </c>
      <c r="I203" s="63"/>
      <c r="J203" s="63"/>
      <c r="K203" s="63"/>
      <c r="L203" s="63"/>
      <c r="M203" s="61">
        <f>SUM(I203:L203)</f>
        <v>0</v>
      </c>
      <c r="N203" s="63"/>
      <c r="O203" s="63"/>
      <c r="P203" s="63"/>
      <c r="Q203" s="63"/>
      <c r="R203" s="61">
        <f>SUM(N203:Q203)</f>
        <v>0</v>
      </c>
      <c r="S203" s="63"/>
      <c r="T203" s="63"/>
      <c r="U203" s="63"/>
      <c r="V203" s="63"/>
      <c r="W203" s="61">
        <f>SUM(S203:V203)</f>
        <v>0</v>
      </c>
      <c r="X203" s="63"/>
      <c r="Y203" s="63"/>
      <c r="Z203" s="63"/>
      <c r="AA203" s="63"/>
      <c r="AB203" s="61">
        <f>SUM(X203:AA203)</f>
        <v>0</v>
      </c>
      <c r="AC203" s="63"/>
      <c r="AD203" s="63"/>
      <c r="AE203" s="63"/>
      <c r="AF203" s="63"/>
      <c r="AG203" s="61">
        <f>SUM(AC203:AF203)</f>
        <v>0</v>
      </c>
      <c r="AH203" s="63"/>
      <c r="AI203" s="63"/>
      <c r="AJ203" s="63"/>
      <c r="AK203" s="63"/>
      <c r="AL203" s="61">
        <f>SUM(AH203:AK203)</f>
        <v>0</v>
      </c>
      <c r="AM203" s="68">
        <f t="shared" si="46"/>
        <v>0</v>
      </c>
    </row>
    <row r="204" spans="1:39" hidden="1" x14ac:dyDescent="0.35">
      <c r="A204" s="76" t="s">
        <v>401</v>
      </c>
      <c r="B204" s="67" t="s">
        <v>307</v>
      </c>
      <c r="C204" s="66"/>
      <c r="D204" s="66">
        <f t="shared" ref="D204:AL204" si="48">SUM(D200:D203)</f>
        <v>0</v>
      </c>
      <c r="E204" s="66">
        <f t="shared" si="48"/>
        <v>0</v>
      </c>
      <c r="F204" s="66">
        <f t="shared" si="48"/>
        <v>0</v>
      </c>
      <c r="G204" s="66">
        <f t="shared" si="48"/>
        <v>0</v>
      </c>
      <c r="H204" s="61">
        <f t="shared" si="48"/>
        <v>0</v>
      </c>
      <c r="I204" s="66">
        <f t="shared" si="48"/>
        <v>0</v>
      </c>
      <c r="J204" s="66">
        <f t="shared" si="48"/>
        <v>0</v>
      </c>
      <c r="K204" s="66">
        <f t="shared" si="48"/>
        <v>0</v>
      </c>
      <c r="L204" s="66">
        <f t="shared" si="48"/>
        <v>0</v>
      </c>
      <c r="M204" s="61">
        <f t="shared" si="48"/>
        <v>0</v>
      </c>
      <c r="N204" s="66">
        <f t="shared" si="48"/>
        <v>0</v>
      </c>
      <c r="O204" s="66">
        <f t="shared" si="48"/>
        <v>0</v>
      </c>
      <c r="P204" s="66">
        <f t="shared" si="48"/>
        <v>0</v>
      </c>
      <c r="Q204" s="66">
        <f t="shared" si="48"/>
        <v>0</v>
      </c>
      <c r="R204" s="61">
        <f t="shared" si="48"/>
        <v>0</v>
      </c>
      <c r="S204" s="66">
        <f t="shared" si="48"/>
        <v>0</v>
      </c>
      <c r="T204" s="66">
        <f t="shared" si="48"/>
        <v>0</v>
      </c>
      <c r="U204" s="66">
        <f t="shared" si="48"/>
        <v>0</v>
      </c>
      <c r="V204" s="66">
        <f t="shared" si="48"/>
        <v>0</v>
      </c>
      <c r="W204" s="61">
        <f t="shared" si="48"/>
        <v>0</v>
      </c>
      <c r="X204" s="66">
        <f t="shared" si="48"/>
        <v>0</v>
      </c>
      <c r="Y204" s="66">
        <f t="shared" si="48"/>
        <v>0</v>
      </c>
      <c r="Z204" s="66">
        <f t="shared" si="48"/>
        <v>0</v>
      </c>
      <c r="AA204" s="66">
        <f t="shared" si="48"/>
        <v>0</v>
      </c>
      <c r="AB204" s="61">
        <f t="shared" si="48"/>
        <v>0</v>
      </c>
      <c r="AC204" s="66">
        <f t="shared" si="48"/>
        <v>0</v>
      </c>
      <c r="AD204" s="66">
        <f t="shared" si="48"/>
        <v>0</v>
      </c>
      <c r="AE204" s="66">
        <f t="shared" si="48"/>
        <v>0</v>
      </c>
      <c r="AF204" s="66">
        <f t="shared" si="48"/>
        <v>0</v>
      </c>
      <c r="AG204" s="61">
        <f t="shared" si="48"/>
        <v>0</v>
      </c>
      <c r="AH204" s="66">
        <f t="shared" si="48"/>
        <v>0</v>
      </c>
      <c r="AI204" s="66">
        <f t="shared" si="48"/>
        <v>0</v>
      </c>
      <c r="AJ204" s="66">
        <f t="shared" si="48"/>
        <v>0</v>
      </c>
      <c r="AK204" s="66">
        <f t="shared" si="48"/>
        <v>0</v>
      </c>
      <c r="AL204" s="61">
        <f t="shared" si="48"/>
        <v>0</v>
      </c>
      <c r="AM204" s="68">
        <f t="shared" si="46"/>
        <v>0</v>
      </c>
    </row>
    <row r="205" spans="1:39" x14ac:dyDescent="0.35">
      <c r="A205" s="66" t="s">
        <v>306</v>
      </c>
      <c r="B205" s="67" t="s">
        <v>307</v>
      </c>
      <c r="C205" s="66"/>
      <c r="D205" s="66">
        <f t="shared" ref="D205:AL205" si="49">SUM(D204,D199,D194)</f>
        <v>26</v>
      </c>
      <c r="E205" s="66">
        <f t="shared" si="49"/>
        <v>0</v>
      </c>
      <c r="F205" s="66">
        <f t="shared" si="49"/>
        <v>0</v>
      </c>
      <c r="G205" s="66">
        <f t="shared" si="49"/>
        <v>0</v>
      </c>
      <c r="H205" s="61">
        <f t="shared" si="49"/>
        <v>26</v>
      </c>
      <c r="I205" s="66">
        <f t="shared" si="49"/>
        <v>0</v>
      </c>
      <c r="J205" s="66">
        <f t="shared" si="49"/>
        <v>0</v>
      </c>
      <c r="K205" s="66">
        <f t="shared" si="49"/>
        <v>0</v>
      </c>
      <c r="L205" s="66">
        <f t="shared" si="49"/>
        <v>0</v>
      </c>
      <c r="M205" s="61">
        <f t="shared" si="49"/>
        <v>0</v>
      </c>
      <c r="N205" s="66">
        <f t="shared" si="49"/>
        <v>6</v>
      </c>
      <c r="O205" s="66">
        <f t="shared" si="49"/>
        <v>0</v>
      </c>
      <c r="P205" s="66">
        <f t="shared" si="49"/>
        <v>0</v>
      </c>
      <c r="Q205" s="66">
        <f t="shared" si="49"/>
        <v>0</v>
      </c>
      <c r="R205" s="61">
        <f t="shared" si="49"/>
        <v>6</v>
      </c>
      <c r="S205" s="66">
        <f t="shared" si="49"/>
        <v>0</v>
      </c>
      <c r="T205" s="66">
        <f t="shared" si="49"/>
        <v>0</v>
      </c>
      <c r="U205" s="66">
        <f t="shared" si="49"/>
        <v>0</v>
      </c>
      <c r="V205" s="66">
        <f t="shared" si="49"/>
        <v>0</v>
      </c>
      <c r="W205" s="61">
        <f t="shared" si="49"/>
        <v>0</v>
      </c>
      <c r="X205" s="66">
        <f t="shared" si="49"/>
        <v>0</v>
      </c>
      <c r="Y205" s="66">
        <f t="shared" si="49"/>
        <v>0</v>
      </c>
      <c r="Z205" s="66">
        <f t="shared" si="49"/>
        <v>0</v>
      </c>
      <c r="AA205" s="66">
        <f t="shared" si="49"/>
        <v>0</v>
      </c>
      <c r="AB205" s="61">
        <f t="shared" si="49"/>
        <v>0</v>
      </c>
      <c r="AC205" s="66">
        <f t="shared" si="49"/>
        <v>0</v>
      </c>
      <c r="AD205" s="66">
        <f t="shared" si="49"/>
        <v>0</v>
      </c>
      <c r="AE205" s="66">
        <f t="shared" si="49"/>
        <v>0</v>
      </c>
      <c r="AF205" s="66">
        <f t="shared" si="49"/>
        <v>0</v>
      </c>
      <c r="AG205" s="61">
        <f t="shared" si="49"/>
        <v>0</v>
      </c>
      <c r="AH205" s="66">
        <f t="shared" si="49"/>
        <v>0</v>
      </c>
      <c r="AI205" s="66">
        <f t="shared" si="49"/>
        <v>0</v>
      </c>
      <c r="AJ205" s="66">
        <f t="shared" si="49"/>
        <v>0</v>
      </c>
      <c r="AK205" s="66">
        <f t="shared" si="49"/>
        <v>0</v>
      </c>
      <c r="AL205" s="61">
        <f t="shared" si="49"/>
        <v>0</v>
      </c>
      <c r="AM205" s="68">
        <f t="shared" si="46"/>
        <v>32</v>
      </c>
    </row>
    <row r="206" spans="1:39" hidden="1" x14ac:dyDescent="0.35">
      <c r="A206" s="59" t="s">
        <v>310</v>
      </c>
      <c r="B206" s="54">
        <v>30</v>
      </c>
      <c r="C206" s="60" t="s">
        <v>225</v>
      </c>
      <c r="D206" s="60"/>
      <c r="E206" s="60"/>
      <c r="F206" s="60"/>
      <c r="G206" s="60"/>
      <c r="H206" s="61">
        <f>SUM(D206:G206)</f>
        <v>0</v>
      </c>
      <c r="I206" s="60"/>
      <c r="J206" s="60"/>
      <c r="K206" s="60"/>
      <c r="L206" s="60"/>
      <c r="M206" s="61">
        <f>SUM(I206:L206)</f>
        <v>0</v>
      </c>
      <c r="N206" s="60"/>
      <c r="O206" s="60"/>
      <c r="P206" s="60"/>
      <c r="Q206" s="60"/>
      <c r="R206" s="61">
        <f>SUM(N206:Q206)</f>
        <v>0</v>
      </c>
      <c r="S206" s="60"/>
      <c r="T206" s="60"/>
      <c r="U206" s="60"/>
      <c r="V206" s="60"/>
      <c r="W206" s="61">
        <f>SUM(S206:V206)</f>
        <v>0</v>
      </c>
      <c r="X206" s="60"/>
      <c r="Y206" s="60"/>
      <c r="Z206" s="60"/>
      <c r="AA206" s="60"/>
      <c r="AB206" s="61">
        <f>SUM(X206:AA206)</f>
        <v>0</v>
      </c>
      <c r="AC206" s="60"/>
      <c r="AD206" s="60"/>
      <c r="AE206" s="60"/>
      <c r="AF206" s="60"/>
      <c r="AG206" s="61">
        <f>SUM(AC206:AF206)</f>
        <v>0</v>
      </c>
      <c r="AH206" s="60"/>
      <c r="AI206" s="60"/>
      <c r="AJ206" s="60"/>
      <c r="AK206" s="60"/>
      <c r="AL206" s="61">
        <f>SUM(AH206:AK206)</f>
        <v>0</v>
      </c>
      <c r="AM206" s="68">
        <f t="shared" si="46"/>
        <v>0</v>
      </c>
    </row>
    <row r="207" spans="1:39" hidden="1" x14ac:dyDescent="0.35">
      <c r="A207" s="111" t="s">
        <v>263</v>
      </c>
      <c r="B207" s="54"/>
      <c r="C207" s="63" t="s">
        <v>227</v>
      </c>
      <c r="D207" s="63"/>
      <c r="E207" s="63"/>
      <c r="F207" s="63"/>
      <c r="G207" s="63"/>
      <c r="H207" s="61">
        <f>SUM(D207:G207)</f>
        <v>0</v>
      </c>
      <c r="I207" s="63"/>
      <c r="J207" s="63"/>
      <c r="K207" s="63"/>
      <c r="L207" s="63"/>
      <c r="M207" s="61">
        <f>SUM(I207:L207)</f>
        <v>0</v>
      </c>
      <c r="N207" s="63"/>
      <c r="O207" s="63"/>
      <c r="P207" s="63"/>
      <c r="Q207" s="63"/>
      <c r="R207" s="61">
        <f>SUM(N207:Q207)</f>
        <v>0</v>
      </c>
      <c r="S207" s="63"/>
      <c r="T207" s="63"/>
      <c r="U207" s="63"/>
      <c r="V207" s="63"/>
      <c r="W207" s="61">
        <f>SUM(S207:V207)</f>
        <v>0</v>
      </c>
      <c r="X207" s="63"/>
      <c r="Y207" s="63"/>
      <c r="Z207" s="63"/>
      <c r="AA207" s="63"/>
      <c r="AB207" s="61">
        <f>SUM(X207:AA207)</f>
        <v>0</v>
      </c>
      <c r="AC207" s="63"/>
      <c r="AD207" s="63"/>
      <c r="AE207" s="63"/>
      <c r="AF207" s="63"/>
      <c r="AG207" s="61">
        <f>SUM(AC207:AF207)</f>
        <v>0</v>
      </c>
      <c r="AH207" s="63"/>
      <c r="AI207" s="63"/>
      <c r="AJ207" s="63"/>
      <c r="AK207" s="63"/>
      <c r="AL207" s="61">
        <f>SUM(AH207:AK207)</f>
        <v>0</v>
      </c>
      <c r="AM207" s="68">
        <f t="shared" si="46"/>
        <v>0</v>
      </c>
    </row>
    <row r="208" spans="1:39" hidden="1" x14ac:dyDescent="0.35">
      <c r="A208" s="111"/>
      <c r="B208" s="54"/>
      <c r="C208" s="60" t="s">
        <v>228</v>
      </c>
      <c r="D208" s="60"/>
      <c r="E208" s="60"/>
      <c r="F208" s="60"/>
      <c r="G208" s="60"/>
      <c r="H208" s="61">
        <f>SUM(D208:G208)</f>
        <v>0</v>
      </c>
      <c r="I208" s="60"/>
      <c r="J208" s="60"/>
      <c r="K208" s="60"/>
      <c r="L208" s="60"/>
      <c r="M208" s="61">
        <f>SUM(I208:L208)</f>
        <v>0</v>
      </c>
      <c r="N208" s="60"/>
      <c r="O208" s="60"/>
      <c r="P208" s="60"/>
      <c r="Q208" s="60"/>
      <c r="R208" s="61">
        <f>SUM(N208:Q208)</f>
        <v>0</v>
      </c>
      <c r="S208" s="60"/>
      <c r="T208" s="60"/>
      <c r="U208" s="60"/>
      <c r="V208" s="60"/>
      <c r="W208" s="61">
        <f>SUM(S208:V208)</f>
        <v>0</v>
      </c>
      <c r="X208" s="60"/>
      <c r="Y208" s="60"/>
      <c r="Z208" s="60"/>
      <c r="AA208" s="60"/>
      <c r="AB208" s="61">
        <f>SUM(X208:AA208)</f>
        <v>0</v>
      </c>
      <c r="AC208" s="60"/>
      <c r="AD208" s="60"/>
      <c r="AE208" s="60"/>
      <c r="AF208" s="60"/>
      <c r="AG208" s="61">
        <f>SUM(AC208:AF208)</f>
        <v>0</v>
      </c>
      <c r="AH208" s="60"/>
      <c r="AI208" s="60"/>
      <c r="AJ208" s="60"/>
      <c r="AK208" s="60"/>
      <c r="AL208" s="61">
        <f>SUM(AH208:AK208)</f>
        <v>0</v>
      </c>
      <c r="AM208" s="68">
        <f t="shared" si="46"/>
        <v>0</v>
      </c>
    </row>
    <row r="209" spans="1:39" hidden="1" x14ac:dyDescent="0.35">
      <c r="A209" s="111"/>
      <c r="B209" s="54"/>
      <c r="C209" s="63" t="s">
        <v>235</v>
      </c>
      <c r="D209" s="63"/>
      <c r="E209" s="63"/>
      <c r="F209" s="63"/>
      <c r="G209" s="63"/>
      <c r="H209" s="61">
        <f>SUM(D209:G209)</f>
        <v>0</v>
      </c>
      <c r="I209" s="63"/>
      <c r="J209" s="63"/>
      <c r="K209" s="63"/>
      <c r="L209" s="63"/>
      <c r="M209" s="61">
        <f>SUM(I209:L209)</f>
        <v>0</v>
      </c>
      <c r="N209" s="63"/>
      <c r="O209" s="63"/>
      <c r="P209" s="63"/>
      <c r="Q209" s="63"/>
      <c r="R209" s="61">
        <f>SUM(N209:Q209)</f>
        <v>0</v>
      </c>
      <c r="S209" s="63"/>
      <c r="T209" s="63"/>
      <c r="U209" s="63"/>
      <c r="V209" s="63"/>
      <c r="W209" s="61">
        <f>SUM(S209:V209)</f>
        <v>0</v>
      </c>
      <c r="X209" s="63"/>
      <c r="Y209" s="63"/>
      <c r="Z209" s="63"/>
      <c r="AA209" s="63"/>
      <c r="AB209" s="61">
        <f>SUM(X209:AA209)</f>
        <v>0</v>
      </c>
      <c r="AC209" s="63"/>
      <c r="AD209" s="63"/>
      <c r="AE209" s="63"/>
      <c r="AF209" s="63"/>
      <c r="AG209" s="61">
        <f>SUM(AC209:AF209)</f>
        <v>0</v>
      </c>
      <c r="AH209" s="63">
        <v>2</v>
      </c>
      <c r="AI209" s="63"/>
      <c r="AJ209" s="63"/>
      <c r="AK209" s="63"/>
      <c r="AL209" s="61">
        <f>SUM(AH209:AK209)</f>
        <v>2</v>
      </c>
      <c r="AM209" s="68">
        <f t="shared" si="46"/>
        <v>2</v>
      </c>
    </row>
    <row r="210" spans="1:39" x14ac:dyDescent="0.35">
      <c r="A210" s="66" t="s">
        <v>310</v>
      </c>
      <c r="B210" s="67">
        <v>30</v>
      </c>
      <c r="C210" s="66"/>
      <c r="D210" s="66">
        <f t="shared" ref="D210:AL210" si="50">SUM(D206:D209)</f>
        <v>0</v>
      </c>
      <c r="E210" s="66">
        <f t="shared" si="50"/>
        <v>0</v>
      </c>
      <c r="F210" s="66">
        <f t="shared" si="50"/>
        <v>0</v>
      </c>
      <c r="G210" s="66">
        <f t="shared" si="50"/>
        <v>0</v>
      </c>
      <c r="H210" s="61">
        <f t="shared" si="50"/>
        <v>0</v>
      </c>
      <c r="I210" s="66">
        <f t="shared" si="50"/>
        <v>0</v>
      </c>
      <c r="J210" s="66">
        <f t="shared" si="50"/>
        <v>0</v>
      </c>
      <c r="K210" s="66">
        <f t="shared" si="50"/>
        <v>0</v>
      </c>
      <c r="L210" s="66">
        <f t="shared" si="50"/>
        <v>0</v>
      </c>
      <c r="M210" s="61">
        <f t="shared" si="50"/>
        <v>0</v>
      </c>
      <c r="N210" s="66">
        <f t="shared" si="50"/>
        <v>0</v>
      </c>
      <c r="O210" s="66">
        <f t="shared" si="50"/>
        <v>0</v>
      </c>
      <c r="P210" s="66">
        <f t="shared" si="50"/>
        <v>0</v>
      </c>
      <c r="Q210" s="66">
        <f t="shared" si="50"/>
        <v>0</v>
      </c>
      <c r="R210" s="61">
        <f t="shared" si="50"/>
        <v>0</v>
      </c>
      <c r="S210" s="66">
        <f t="shared" si="50"/>
        <v>0</v>
      </c>
      <c r="T210" s="66">
        <f t="shared" si="50"/>
        <v>0</v>
      </c>
      <c r="U210" s="66">
        <f t="shared" si="50"/>
        <v>0</v>
      </c>
      <c r="V210" s="66">
        <f t="shared" si="50"/>
        <v>0</v>
      </c>
      <c r="W210" s="61">
        <f t="shared" si="50"/>
        <v>0</v>
      </c>
      <c r="X210" s="66">
        <f t="shared" si="50"/>
        <v>0</v>
      </c>
      <c r="Y210" s="66">
        <f t="shared" si="50"/>
        <v>0</v>
      </c>
      <c r="Z210" s="66">
        <f t="shared" si="50"/>
        <v>0</v>
      </c>
      <c r="AA210" s="66">
        <f t="shared" si="50"/>
        <v>0</v>
      </c>
      <c r="AB210" s="61">
        <f t="shared" si="50"/>
        <v>0</v>
      </c>
      <c r="AC210" s="66">
        <f t="shared" si="50"/>
        <v>0</v>
      </c>
      <c r="AD210" s="66">
        <f t="shared" si="50"/>
        <v>0</v>
      </c>
      <c r="AE210" s="66">
        <f t="shared" si="50"/>
        <v>0</v>
      </c>
      <c r="AF210" s="66">
        <f t="shared" si="50"/>
        <v>0</v>
      </c>
      <c r="AG210" s="61">
        <f t="shared" si="50"/>
        <v>0</v>
      </c>
      <c r="AH210" s="66">
        <f t="shared" si="50"/>
        <v>2</v>
      </c>
      <c r="AI210" s="66">
        <f t="shared" si="50"/>
        <v>0</v>
      </c>
      <c r="AJ210" s="66">
        <f t="shared" si="50"/>
        <v>0</v>
      </c>
      <c r="AK210" s="66">
        <f t="shared" si="50"/>
        <v>0</v>
      </c>
      <c r="AL210" s="61">
        <f t="shared" si="50"/>
        <v>2</v>
      </c>
      <c r="AM210" s="68">
        <f t="shared" si="46"/>
        <v>2</v>
      </c>
    </row>
    <row r="211" spans="1:39" hidden="1" x14ac:dyDescent="0.35">
      <c r="A211" s="59" t="s">
        <v>311</v>
      </c>
      <c r="B211" s="54">
        <v>11</v>
      </c>
      <c r="C211" s="60" t="s">
        <v>225</v>
      </c>
      <c r="D211" s="60">
        <v>19</v>
      </c>
      <c r="E211" s="60"/>
      <c r="F211" s="60"/>
      <c r="G211" s="60"/>
      <c r="H211" s="61">
        <f>SUM(D211:G211)</f>
        <v>19</v>
      </c>
      <c r="I211" s="60"/>
      <c r="J211" s="60"/>
      <c r="K211" s="60"/>
      <c r="L211" s="60"/>
      <c r="M211" s="61">
        <f>SUM(I211:L211)</f>
        <v>0</v>
      </c>
      <c r="N211" s="60"/>
      <c r="O211" s="60"/>
      <c r="P211" s="60"/>
      <c r="Q211" s="60"/>
      <c r="R211" s="61">
        <f>SUM(N211:Q211)</f>
        <v>0</v>
      </c>
      <c r="S211" s="60"/>
      <c r="T211" s="60"/>
      <c r="U211" s="60"/>
      <c r="V211" s="60"/>
      <c r="W211" s="61">
        <f>SUM(S211:V211)</f>
        <v>0</v>
      </c>
      <c r="X211" s="60"/>
      <c r="Y211" s="60"/>
      <c r="Z211" s="60"/>
      <c r="AA211" s="60"/>
      <c r="AB211" s="61">
        <f>SUM(X211:AA211)</f>
        <v>0</v>
      </c>
      <c r="AC211" s="60"/>
      <c r="AD211" s="60"/>
      <c r="AE211" s="60"/>
      <c r="AF211" s="60"/>
      <c r="AG211" s="61">
        <f>SUM(AC211:AF211)</f>
        <v>0</v>
      </c>
      <c r="AH211" s="60"/>
      <c r="AI211" s="60"/>
      <c r="AJ211" s="60"/>
      <c r="AK211" s="60"/>
      <c r="AL211" s="61">
        <f>SUM(AH211:AK211)</f>
        <v>0</v>
      </c>
      <c r="AM211" s="68">
        <f t="shared" si="46"/>
        <v>19</v>
      </c>
    </row>
    <row r="212" spans="1:39" hidden="1" x14ac:dyDescent="0.35">
      <c r="A212" s="111" t="s">
        <v>300</v>
      </c>
      <c r="B212" s="54"/>
      <c r="C212" s="63" t="s">
        <v>227</v>
      </c>
      <c r="D212" s="63">
        <v>12</v>
      </c>
      <c r="E212" s="63"/>
      <c r="F212" s="63"/>
      <c r="G212" s="63"/>
      <c r="H212" s="61">
        <f>SUM(D212:G212)</f>
        <v>12</v>
      </c>
      <c r="I212" s="63">
        <v>1</v>
      </c>
      <c r="J212" s="63"/>
      <c r="K212" s="63"/>
      <c r="L212" s="63"/>
      <c r="M212" s="61">
        <f>SUM(I212:L212)</f>
        <v>1</v>
      </c>
      <c r="N212" s="63">
        <v>7</v>
      </c>
      <c r="O212" s="63"/>
      <c r="P212" s="63"/>
      <c r="Q212" s="63"/>
      <c r="R212" s="61">
        <f>SUM(N212:Q212)</f>
        <v>7</v>
      </c>
      <c r="S212" s="63"/>
      <c r="T212" s="63"/>
      <c r="U212" s="63"/>
      <c r="V212" s="63"/>
      <c r="W212" s="61">
        <f>SUM(S212:V212)</f>
        <v>0</v>
      </c>
      <c r="X212" s="63"/>
      <c r="Y212" s="63"/>
      <c r="Z212" s="63"/>
      <c r="AA212" s="63"/>
      <c r="AB212" s="61">
        <f>SUM(X212:AA212)</f>
        <v>0</v>
      </c>
      <c r="AC212" s="63"/>
      <c r="AD212" s="63"/>
      <c r="AE212" s="63"/>
      <c r="AF212" s="63"/>
      <c r="AG212" s="61">
        <f>SUM(AC212:AF212)</f>
        <v>0</v>
      </c>
      <c r="AH212" s="63"/>
      <c r="AI212" s="63"/>
      <c r="AJ212" s="63"/>
      <c r="AK212" s="63"/>
      <c r="AL212" s="61">
        <f>SUM(AH212:AK212)</f>
        <v>0</v>
      </c>
      <c r="AM212" s="68">
        <f t="shared" si="46"/>
        <v>20</v>
      </c>
    </row>
    <row r="213" spans="1:39" hidden="1" x14ac:dyDescent="0.35">
      <c r="A213" s="111"/>
      <c r="B213" s="54"/>
      <c r="C213" s="60" t="s">
        <v>228</v>
      </c>
      <c r="D213" s="60">
        <v>10</v>
      </c>
      <c r="E213" s="60"/>
      <c r="F213" s="60"/>
      <c r="G213" s="60"/>
      <c r="H213" s="61">
        <f>SUM(D213:G213)</f>
        <v>10</v>
      </c>
      <c r="I213" s="60"/>
      <c r="J213" s="60"/>
      <c r="K213" s="60"/>
      <c r="L213" s="60"/>
      <c r="M213" s="61">
        <f>SUM(I213:L213)</f>
        <v>0</v>
      </c>
      <c r="N213" s="60">
        <v>3</v>
      </c>
      <c r="O213" s="60"/>
      <c r="P213" s="60"/>
      <c r="Q213" s="60"/>
      <c r="R213" s="61">
        <f>SUM(N213:Q213)</f>
        <v>3</v>
      </c>
      <c r="S213" s="60"/>
      <c r="T213" s="60"/>
      <c r="U213" s="60"/>
      <c r="V213" s="60"/>
      <c r="W213" s="61">
        <f>SUM(S213:V213)</f>
        <v>0</v>
      </c>
      <c r="X213" s="60"/>
      <c r="Y213" s="60"/>
      <c r="Z213" s="60"/>
      <c r="AA213" s="60"/>
      <c r="AB213" s="61">
        <f>SUM(X213:AA213)</f>
        <v>0</v>
      </c>
      <c r="AC213" s="60"/>
      <c r="AD213" s="60"/>
      <c r="AE213" s="60"/>
      <c r="AF213" s="60"/>
      <c r="AG213" s="61">
        <f>SUM(AC213:AF213)</f>
        <v>0</v>
      </c>
      <c r="AH213" s="60"/>
      <c r="AI213" s="60"/>
      <c r="AJ213" s="60"/>
      <c r="AK213" s="60"/>
      <c r="AL213" s="61">
        <f>SUM(AH213:AK213)</f>
        <v>0</v>
      </c>
      <c r="AM213" s="68">
        <f t="shared" si="46"/>
        <v>13</v>
      </c>
    </row>
    <row r="214" spans="1:39" hidden="1" x14ac:dyDescent="0.35">
      <c r="A214" s="111"/>
      <c r="B214" s="54"/>
      <c r="C214" s="63" t="s">
        <v>235</v>
      </c>
      <c r="D214" s="63">
        <v>8</v>
      </c>
      <c r="E214" s="63"/>
      <c r="F214" s="63"/>
      <c r="G214" s="63"/>
      <c r="H214" s="61">
        <f>SUM(D214:G214)</f>
        <v>8</v>
      </c>
      <c r="I214" s="63"/>
      <c r="J214" s="63"/>
      <c r="K214" s="63"/>
      <c r="L214" s="63"/>
      <c r="M214" s="61">
        <f>SUM(I214:L214)</f>
        <v>0</v>
      </c>
      <c r="N214" s="63">
        <v>4</v>
      </c>
      <c r="O214" s="63"/>
      <c r="P214" s="63"/>
      <c r="Q214" s="63"/>
      <c r="R214" s="61">
        <f>SUM(N214:Q214)</f>
        <v>4</v>
      </c>
      <c r="S214" s="63"/>
      <c r="T214" s="63"/>
      <c r="U214" s="63"/>
      <c r="V214" s="63"/>
      <c r="W214" s="61">
        <f>SUM(S214:V214)</f>
        <v>0</v>
      </c>
      <c r="X214" s="63"/>
      <c r="Y214" s="63"/>
      <c r="Z214" s="63"/>
      <c r="AA214" s="63"/>
      <c r="AB214" s="61">
        <f>SUM(X214:AA214)</f>
        <v>0</v>
      </c>
      <c r="AC214" s="63"/>
      <c r="AD214" s="63"/>
      <c r="AE214" s="63"/>
      <c r="AF214" s="63"/>
      <c r="AG214" s="61">
        <f>SUM(AC214:AF214)</f>
        <v>0</v>
      </c>
      <c r="AH214" s="63"/>
      <c r="AI214" s="63"/>
      <c r="AJ214" s="63"/>
      <c r="AK214" s="63"/>
      <c r="AL214" s="61">
        <f>SUM(AH214:AK214)</f>
        <v>0</v>
      </c>
      <c r="AM214" s="68">
        <f t="shared" si="46"/>
        <v>12</v>
      </c>
    </row>
    <row r="215" spans="1:39" x14ac:dyDescent="0.35">
      <c r="A215" s="66" t="s">
        <v>311</v>
      </c>
      <c r="B215" s="67">
        <v>11</v>
      </c>
      <c r="C215" s="66"/>
      <c r="D215" s="66">
        <f t="shared" ref="D215:AL215" si="51">SUM(D211:D214)</f>
        <v>49</v>
      </c>
      <c r="E215" s="66">
        <f t="shared" si="51"/>
        <v>0</v>
      </c>
      <c r="F215" s="66">
        <f t="shared" si="51"/>
        <v>0</v>
      </c>
      <c r="G215" s="66">
        <f t="shared" si="51"/>
        <v>0</v>
      </c>
      <c r="H215" s="61">
        <f t="shared" si="51"/>
        <v>49</v>
      </c>
      <c r="I215" s="66">
        <f t="shared" si="51"/>
        <v>1</v>
      </c>
      <c r="J215" s="66">
        <f t="shared" si="51"/>
        <v>0</v>
      </c>
      <c r="K215" s="66">
        <f t="shared" si="51"/>
        <v>0</v>
      </c>
      <c r="L215" s="66">
        <f t="shared" si="51"/>
        <v>0</v>
      </c>
      <c r="M215" s="61">
        <f t="shared" si="51"/>
        <v>1</v>
      </c>
      <c r="N215" s="66">
        <f t="shared" si="51"/>
        <v>14</v>
      </c>
      <c r="O215" s="66">
        <f t="shared" si="51"/>
        <v>0</v>
      </c>
      <c r="P215" s="66">
        <f t="shared" si="51"/>
        <v>0</v>
      </c>
      <c r="Q215" s="66">
        <f t="shared" si="51"/>
        <v>0</v>
      </c>
      <c r="R215" s="61">
        <f t="shared" si="51"/>
        <v>14</v>
      </c>
      <c r="S215" s="66">
        <f t="shared" si="51"/>
        <v>0</v>
      </c>
      <c r="T215" s="66">
        <f t="shared" si="51"/>
        <v>0</v>
      </c>
      <c r="U215" s="66">
        <f t="shared" si="51"/>
        <v>0</v>
      </c>
      <c r="V215" s="66">
        <f t="shared" si="51"/>
        <v>0</v>
      </c>
      <c r="W215" s="61">
        <f t="shared" si="51"/>
        <v>0</v>
      </c>
      <c r="X215" s="66">
        <f t="shared" si="51"/>
        <v>0</v>
      </c>
      <c r="Y215" s="66">
        <f t="shared" si="51"/>
        <v>0</v>
      </c>
      <c r="Z215" s="66">
        <f t="shared" si="51"/>
        <v>0</v>
      </c>
      <c r="AA215" s="66">
        <f t="shared" si="51"/>
        <v>0</v>
      </c>
      <c r="AB215" s="61">
        <f t="shared" si="51"/>
        <v>0</v>
      </c>
      <c r="AC215" s="66">
        <f t="shared" si="51"/>
        <v>0</v>
      </c>
      <c r="AD215" s="66">
        <f t="shared" si="51"/>
        <v>0</v>
      </c>
      <c r="AE215" s="66">
        <f t="shared" si="51"/>
        <v>0</v>
      </c>
      <c r="AF215" s="66">
        <f t="shared" si="51"/>
        <v>0</v>
      </c>
      <c r="AG215" s="61">
        <f t="shared" si="51"/>
        <v>0</v>
      </c>
      <c r="AH215" s="66">
        <f t="shared" si="51"/>
        <v>0</v>
      </c>
      <c r="AI215" s="66">
        <f t="shared" si="51"/>
        <v>0</v>
      </c>
      <c r="AJ215" s="66">
        <f t="shared" si="51"/>
        <v>0</v>
      </c>
      <c r="AK215" s="66">
        <f t="shared" si="51"/>
        <v>0</v>
      </c>
      <c r="AL215" s="61">
        <f t="shared" si="51"/>
        <v>0</v>
      </c>
      <c r="AM215" s="68">
        <f t="shared" si="46"/>
        <v>64</v>
      </c>
    </row>
    <row r="216" spans="1:39" hidden="1" x14ac:dyDescent="0.35">
      <c r="A216" s="59" t="s">
        <v>312</v>
      </c>
      <c r="B216" s="54">
        <v>4</v>
      </c>
      <c r="C216" s="60" t="s">
        <v>225</v>
      </c>
      <c r="D216" s="60"/>
      <c r="E216" s="60"/>
      <c r="F216" s="60"/>
      <c r="G216" s="60"/>
      <c r="H216" s="61">
        <f>SUM(D216:G216)</f>
        <v>0</v>
      </c>
      <c r="I216" s="60"/>
      <c r="J216" s="60"/>
      <c r="K216" s="60"/>
      <c r="L216" s="60"/>
      <c r="M216" s="61">
        <f>SUM(I216:L216)</f>
        <v>0</v>
      </c>
      <c r="N216" s="60"/>
      <c r="O216" s="60"/>
      <c r="P216" s="60"/>
      <c r="Q216" s="60"/>
      <c r="R216" s="61">
        <f>SUM(N216:Q216)</f>
        <v>0</v>
      </c>
      <c r="S216" s="60"/>
      <c r="T216" s="60"/>
      <c r="U216" s="60"/>
      <c r="V216" s="60"/>
      <c r="W216" s="61">
        <f>SUM(S216:V216)</f>
        <v>0</v>
      </c>
      <c r="X216" s="60"/>
      <c r="Y216" s="60"/>
      <c r="Z216" s="60"/>
      <c r="AA216" s="60"/>
      <c r="AB216" s="61">
        <f>SUM(X216:AA216)</f>
        <v>0</v>
      </c>
      <c r="AC216" s="60"/>
      <c r="AD216" s="60"/>
      <c r="AE216" s="60"/>
      <c r="AF216" s="60"/>
      <c r="AG216" s="61">
        <f>SUM(AC216:AF216)</f>
        <v>0</v>
      </c>
      <c r="AH216" s="60"/>
      <c r="AI216" s="60"/>
      <c r="AJ216" s="60"/>
      <c r="AK216" s="60"/>
      <c r="AL216" s="61">
        <f>SUM(AH216:AK216)</f>
        <v>0</v>
      </c>
      <c r="AM216" s="68">
        <f t="shared" si="46"/>
        <v>0</v>
      </c>
    </row>
    <row r="217" spans="1:39" hidden="1" x14ac:dyDescent="0.35">
      <c r="A217" s="111" t="s">
        <v>254</v>
      </c>
      <c r="B217" s="54"/>
      <c r="C217" s="63" t="s">
        <v>227</v>
      </c>
      <c r="D217" s="63"/>
      <c r="E217" s="63"/>
      <c r="F217" s="63"/>
      <c r="G217" s="63"/>
      <c r="H217" s="61">
        <f>SUM(D217:G217)</f>
        <v>0</v>
      </c>
      <c r="I217" s="63"/>
      <c r="J217" s="63"/>
      <c r="K217" s="63"/>
      <c r="L217" s="63"/>
      <c r="M217" s="61">
        <f>SUM(I217:L217)</f>
        <v>0</v>
      </c>
      <c r="N217" s="63"/>
      <c r="O217" s="63"/>
      <c r="P217" s="63"/>
      <c r="Q217" s="63"/>
      <c r="R217" s="61">
        <f>SUM(N217:Q217)</f>
        <v>0</v>
      </c>
      <c r="S217" s="63"/>
      <c r="T217" s="63"/>
      <c r="U217" s="63"/>
      <c r="V217" s="63"/>
      <c r="W217" s="61">
        <f>SUM(S217:V217)</f>
        <v>0</v>
      </c>
      <c r="X217" s="63"/>
      <c r="Y217" s="63"/>
      <c r="Z217" s="63"/>
      <c r="AA217" s="63"/>
      <c r="AB217" s="61">
        <f>SUM(X217:AA217)</f>
        <v>0</v>
      </c>
      <c r="AC217" s="63"/>
      <c r="AD217" s="63"/>
      <c r="AE217" s="63"/>
      <c r="AF217" s="63"/>
      <c r="AG217" s="61">
        <f>SUM(AC217:AF217)</f>
        <v>0</v>
      </c>
      <c r="AH217" s="63"/>
      <c r="AI217" s="63"/>
      <c r="AJ217" s="63"/>
      <c r="AK217" s="63"/>
      <c r="AL217" s="61">
        <f>SUM(AH217:AK217)</f>
        <v>0</v>
      </c>
      <c r="AM217" s="68">
        <f t="shared" si="46"/>
        <v>0</v>
      </c>
    </row>
    <row r="218" spans="1:39" hidden="1" x14ac:dyDescent="0.35">
      <c r="A218" s="111"/>
      <c r="B218" s="54"/>
      <c r="C218" s="60" t="s">
        <v>228</v>
      </c>
      <c r="D218" s="60"/>
      <c r="E218" s="60"/>
      <c r="F218" s="60"/>
      <c r="G218" s="60"/>
      <c r="H218" s="61">
        <f>SUM(D218:G218)</f>
        <v>0</v>
      </c>
      <c r="I218" s="60"/>
      <c r="J218" s="60"/>
      <c r="K218" s="60"/>
      <c r="L218" s="60"/>
      <c r="M218" s="61">
        <f>SUM(I218:L218)</f>
        <v>0</v>
      </c>
      <c r="N218" s="60"/>
      <c r="O218" s="60"/>
      <c r="P218" s="60"/>
      <c r="Q218" s="60"/>
      <c r="R218" s="61">
        <f>SUM(N218:Q218)</f>
        <v>0</v>
      </c>
      <c r="S218" s="60"/>
      <c r="T218" s="60"/>
      <c r="U218" s="60"/>
      <c r="V218" s="60"/>
      <c r="W218" s="61">
        <f>SUM(S218:V218)</f>
        <v>0</v>
      </c>
      <c r="X218" s="60"/>
      <c r="Y218" s="60"/>
      <c r="Z218" s="60"/>
      <c r="AA218" s="60"/>
      <c r="AB218" s="61">
        <f>SUM(X218:AA218)</f>
        <v>0</v>
      </c>
      <c r="AC218" s="60"/>
      <c r="AD218" s="60"/>
      <c r="AE218" s="60"/>
      <c r="AF218" s="60"/>
      <c r="AG218" s="61">
        <f>SUM(AC218:AF218)</f>
        <v>0</v>
      </c>
      <c r="AH218" s="60"/>
      <c r="AI218" s="60"/>
      <c r="AJ218" s="60"/>
      <c r="AK218" s="60"/>
      <c r="AL218" s="61">
        <f>SUM(AH218:AK218)</f>
        <v>0</v>
      </c>
      <c r="AM218" s="68">
        <f t="shared" si="46"/>
        <v>0</v>
      </c>
    </row>
    <row r="219" spans="1:39" hidden="1" x14ac:dyDescent="0.35">
      <c r="A219" s="111"/>
      <c r="B219" s="54"/>
      <c r="C219" s="63" t="s">
        <v>235</v>
      </c>
      <c r="D219" s="63"/>
      <c r="E219" s="63"/>
      <c r="F219" s="63"/>
      <c r="G219" s="63"/>
      <c r="H219" s="61">
        <f>SUM(D219:G219)</f>
        <v>0</v>
      </c>
      <c r="I219" s="63"/>
      <c r="J219" s="63"/>
      <c r="K219" s="63"/>
      <c r="L219" s="63"/>
      <c r="M219" s="61">
        <f>SUM(I219:L219)</f>
        <v>0</v>
      </c>
      <c r="N219" s="63"/>
      <c r="O219" s="63"/>
      <c r="P219" s="63"/>
      <c r="Q219" s="63"/>
      <c r="R219" s="61">
        <f>SUM(N219:Q219)</f>
        <v>0</v>
      </c>
      <c r="S219" s="63"/>
      <c r="T219" s="63"/>
      <c r="U219" s="63"/>
      <c r="V219" s="63"/>
      <c r="W219" s="61">
        <f>SUM(S219:V219)</f>
        <v>0</v>
      </c>
      <c r="X219" s="63"/>
      <c r="Y219" s="63"/>
      <c r="Z219" s="63"/>
      <c r="AA219" s="63"/>
      <c r="AB219" s="61">
        <f>SUM(X219:AA219)</f>
        <v>0</v>
      </c>
      <c r="AC219" s="63"/>
      <c r="AD219" s="63"/>
      <c r="AE219" s="63"/>
      <c r="AF219" s="63"/>
      <c r="AG219" s="61">
        <f>SUM(AC219:AF219)</f>
        <v>0</v>
      </c>
      <c r="AH219" s="63"/>
      <c r="AI219" s="63"/>
      <c r="AJ219" s="63"/>
      <c r="AK219" s="63"/>
      <c r="AL219" s="61">
        <f>SUM(AH219:AK219)</f>
        <v>0</v>
      </c>
      <c r="AM219" s="68">
        <f t="shared" si="46"/>
        <v>0</v>
      </c>
    </row>
    <row r="220" spans="1:39" x14ac:dyDescent="0.35">
      <c r="A220" s="66" t="s">
        <v>312</v>
      </c>
      <c r="B220" s="67">
        <v>4</v>
      </c>
      <c r="C220" s="66"/>
      <c r="D220" s="66">
        <f t="shared" ref="D220:AL220" si="52">SUM(D216:D219)</f>
        <v>0</v>
      </c>
      <c r="E220" s="66">
        <f t="shared" si="52"/>
        <v>0</v>
      </c>
      <c r="F220" s="66">
        <f t="shared" si="52"/>
        <v>0</v>
      </c>
      <c r="G220" s="66">
        <f t="shared" si="52"/>
        <v>0</v>
      </c>
      <c r="H220" s="61">
        <f t="shared" si="52"/>
        <v>0</v>
      </c>
      <c r="I220" s="66">
        <f t="shared" si="52"/>
        <v>0</v>
      </c>
      <c r="J220" s="66">
        <f t="shared" si="52"/>
        <v>0</v>
      </c>
      <c r="K220" s="66">
        <f t="shared" si="52"/>
        <v>0</v>
      </c>
      <c r="L220" s="66">
        <f t="shared" si="52"/>
        <v>0</v>
      </c>
      <c r="M220" s="61">
        <f t="shared" si="52"/>
        <v>0</v>
      </c>
      <c r="N220" s="66">
        <f t="shared" si="52"/>
        <v>0</v>
      </c>
      <c r="O220" s="66">
        <f t="shared" si="52"/>
        <v>0</v>
      </c>
      <c r="P220" s="66">
        <f t="shared" si="52"/>
        <v>0</v>
      </c>
      <c r="Q220" s="66">
        <f t="shared" si="52"/>
        <v>0</v>
      </c>
      <c r="R220" s="61">
        <f t="shared" si="52"/>
        <v>0</v>
      </c>
      <c r="S220" s="66">
        <f t="shared" si="52"/>
        <v>0</v>
      </c>
      <c r="T220" s="66">
        <f t="shared" si="52"/>
        <v>0</v>
      </c>
      <c r="U220" s="66">
        <f t="shared" si="52"/>
        <v>0</v>
      </c>
      <c r="V220" s="66">
        <f t="shared" si="52"/>
        <v>0</v>
      </c>
      <c r="W220" s="61">
        <f t="shared" si="52"/>
        <v>0</v>
      </c>
      <c r="X220" s="66">
        <f t="shared" si="52"/>
        <v>0</v>
      </c>
      <c r="Y220" s="66">
        <f t="shared" si="52"/>
        <v>0</v>
      </c>
      <c r="Z220" s="66">
        <f t="shared" si="52"/>
        <v>0</v>
      </c>
      <c r="AA220" s="66">
        <f t="shared" si="52"/>
        <v>0</v>
      </c>
      <c r="AB220" s="61">
        <f t="shared" si="52"/>
        <v>0</v>
      </c>
      <c r="AC220" s="66">
        <f t="shared" si="52"/>
        <v>0</v>
      </c>
      <c r="AD220" s="66">
        <f t="shared" si="52"/>
        <v>0</v>
      </c>
      <c r="AE220" s="66">
        <f t="shared" si="52"/>
        <v>0</v>
      </c>
      <c r="AF220" s="66">
        <f t="shared" si="52"/>
        <v>0</v>
      </c>
      <c r="AG220" s="61">
        <f t="shared" si="52"/>
        <v>0</v>
      </c>
      <c r="AH220" s="66">
        <f t="shared" si="52"/>
        <v>0</v>
      </c>
      <c r="AI220" s="66">
        <f t="shared" si="52"/>
        <v>0</v>
      </c>
      <c r="AJ220" s="66">
        <f t="shared" si="52"/>
        <v>0</v>
      </c>
      <c r="AK220" s="66">
        <f t="shared" si="52"/>
        <v>0</v>
      </c>
      <c r="AL220" s="61">
        <f t="shared" si="52"/>
        <v>0</v>
      </c>
      <c r="AM220" s="68">
        <f t="shared" si="46"/>
        <v>0</v>
      </c>
    </row>
    <row r="221" spans="1:39" hidden="1" x14ac:dyDescent="0.35">
      <c r="A221" s="59" t="s">
        <v>313</v>
      </c>
      <c r="B221" s="54">
        <v>11</v>
      </c>
      <c r="C221" s="60" t="s">
        <v>225</v>
      </c>
      <c r="D221" s="60"/>
      <c r="E221" s="60"/>
      <c r="F221" s="60"/>
      <c r="G221" s="60"/>
      <c r="H221" s="61">
        <f>SUM(D221:G221)</f>
        <v>0</v>
      </c>
      <c r="I221" s="60"/>
      <c r="J221" s="60"/>
      <c r="K221" s="60"/>
      <c r="L221" s="60"/>
      <c r="M221" s="61">
        <f>SUM(I221:L221)</f>
        <v>0</v>
      </c>
      <c r="N221" s="60"/>
      <c r="O221" s="60"/>
      <c r="P221" s="60"/>
      <c r="Q221" s="60"/>
      <c r="R221" s="61">
        <f>SUM(N221:Q221)</f>
        <v>0</v>
      </c>
      <c r="S221" s="60"/>
      <c r="T221" s="60"/>
      <c r="U221" s="60"/>
      <c r="V221" s="60"/>
      <c r="W221" s="61">
        <f>SUM(S221:V221)</f>
        <v>0</v>
      </c>
      <c r="X221" s="60"/>
      <c r="Y221" s="60"/>
      <c r="Z221" s="60"/>
      <c r="AA221" s="60"/>
      <c r="AB221" s="61">
        <f>SUM(X221:AA221)</f>
        <v>0</v>
      </c>
      <c r="AC221" s="60"/>
      <c r="AD221" s="60"/>
      <c r="AE221" s="60"/>
      <c r="AF221" s="60"/>
      <c r="AG221" s="61">
        <f>SUM(AC221:AF221)</f>
        <v>0</v>
      </c>
      <c r="AH221" s="60"/>
      <c r="AI221" s="60"/>
      <c r="AJ221" s="60"/>
      <c r="AK221" s="60"/>
      <c r="AL221" s="61">
        <f>SUM(AH221:AK221)</f>
        <v>0</v>
      </c>
      <c r="AM221" s="68">
        <f t="shared" si="46"/>
        <v>0</v>
      </c>
    </row>
    <row r="222" spans="1:39" hidden="1" x14ac:dyDescent="0.35">
      <c r="A222" s="111" t="s">
        <v>300</v>
      </c>
      <c r="B222" s="54"/>
      <c r="C222" s="63" t="s">
        <v>227</v>
      </c>
      <c r="D222" s="63"/>
      <c r="E222" s="63"/>
      <c r="F222" s="63"/>
      <c r="G222" s="63"/>
      <c r="H222" s="61">
        <f>SUM(D222:G222)</f>
        <v>0</v>
      </c>
      <c r="I222" s="63"/>
      <c r="J222" s="63"/>
      <c r="K222" s="63"/>
      <c r="L222" s="63"/>
      <c r="M222" s="61">
        <f>SUM(I222:L222)</f>
        <v>0</v>
      </c>
      <c r="N222" s="63"/>
      <c r="O222" s="63"/>
      <c r="P222" s="63"/>
      <c r="Q222" s="63"/>
      <c r="R222" s="61">
        <f>SUM(N222:Q222)</f>
        <v>0</v>
      </c>
      <c r="S222" s="63"/>
      <c r="T222" s="63"/>
      <c r="U222" s="63"/>
      <c r="V222" s="63"/>
      <c r="W222" s="61">
        <f>SUM(S222:V222)</f>
        <v>0</v>
      </c>
      <c r="X222" s="63"/>
      <c r="Y222" s="63"/>
      <c r="Z222" s="63"/>
      <c r="AA222" s="63"/>
      <c r="AB222" s="61">
        <f>SUM(X222:AA222)</f>
        <v>0</v>
      </c>
      <c r="AC222" s="63"/>
      <c r="AD222" s="63"/>
      <c r="AE222" s="63"/>
      <c r="AF222" s="63"/>
      <c r="AG222" s="61">
        <f>SUM(AC222:AF222)</f>
        <v>0</v>
      </c>
      <c r="AH222" s="63"/>
      <c r="AI222" s="63"/>
      <c r="AJ222" s="63"/>
      <c r="AK222" s="63"/>
      <c r="AL222" s="61">
        <f>SUM(AH222:AK222)</f>
        <v>0</v>
      </c>
      <c r="AM222" s="68">
        <f t="shared" si="46"/>
        <v>0</v>
      </c>
    </row>
    <row r="223" spans="1:39" hidden="1" x14ac:dyDescent="0.35">
      <c r="A223" s="111"/>
      <c r="B223" s="54"/>
      <c r="C223" s="60" t="s">
        <v>228</v>
      </c>
      <c r="D223" s="60"/>
      <c r="E223" s="60"/>
      <c r="F223" s="60"/>
      <c r="G223" s="60"/>
      <c r="H223" s="61">
        <f>SUM(D223:G223)</f>
        <v>0</v>
      </c>
      <c r="I223" s="60"/>
      <c r="J223" s="60"/>
      <c r="K223" s="60"/>
      <c r="L223" s="60"/>
      <c r="M223" s="61">
        <f>SUM(I223:L223)</f>
        <v>0</v>
      </c>
      <c r="N223" s="60"/>
      <c r="O223" s="60"/>
      <c r="P223" s="60"/>
      <c r="Q223" s="60"/>
      <c r="R223" s="61">
        <f>SUM(N223:Q223)</f>
        <v>0</v>
      </c>
      <c r="S223" s="60"/>
      <c r="T223" s="60"/>
      <c r="U223" s="60"/>
      <c r="V223" s="60"/>
      <c r="W223" s="61">
        <f>SUM(S223:V223)</f>
        <v>0</v>
      </c>
      <c r="X223" s="60"/>
      <c r="Y223" s="60"/>
      <c r="Z223" s="60"/>
      <c r="AA223" s="60"/>
      <c r="AB223" s="61">
        <f>SUM(X223:AA223)</f>
        <v>0</v>
      </c>
      <c r="AC223" s="60"/>
      <c r="AD223" s="60"/>
      <c r="AE223" s="60"/>
      <c r="AF223" s="60"/>
      <c r="AG223" s="61">
        <f>SUM(AC223:AF223)</f>
        <v>0</v>
      </c>
      <c r="AH223" s="60"/>
      <c r="AI223" s="60"/>
      <c r="AJ223" s="60"/>
      <c r="AK223" s="60"/>
      <c r="AL223" s="61">
        <f>SUM(AH223:AK223)</f>
        <v>0</v>
      </c>
      <c r="AM223" s="68">
        <f t="shared" si="46"/>
        <v>0</v>
      </c>
    </row>
    <row r="224" spans="1:39" hidden="1" x14ac:dyDescent="0.35">
      <c r="A224" s="111"/>
      <c r="B224" s="54"/>
      <c r="C224" s="63" t="s">
        <v>235</v>
      </c>
      <c r="D224" s="63"/>
      <c r="E224" s="63"/>
      <c r="F224" s="63"/>
      <c r="G224" s="63"/>
      <c r="H224" s="61">
        <f>SUM(D224:G224)</f>
        <v>0</v>
      </c>
      <c r="I224" s="63"/>
      <c r="J224" s="63"/>
      <c r="K224" s="63"/>
      <c r="L224" s="63"/>
      <c r="M224" s="61">
        <f>SUM(I224:L224)</f>
        <v>0</v>
      </c>
      <c r="N224" s="63"/>
      <c r="O224" s="63"/>
      <c r="P224" s="63"/>
      <c r="Q224" s="63"/>
      <c r="R224" s="61">
        <f>SUM(N224:Q224)</f>
        <v>0</v>
      </c>
      <c r="S224" s="63"/>
      <c r="T224" s="63"/>
      <c r="U224" s="63"/>
      <c r="V224" s="63"/>
      <c r="W224" s="61">
        <f>SUM(S224:V224)</f>
        <v>0</v>
      </c>
      <c r="X224" s="63"/>
      <c r="Y224" s="63"/>
      <c r="Z224" s="63"/>
      <c r="AA224" s="63"/>
      <c r="AB224" s="61">
        <f>SUM(X224:AA224)</f>
        <v>0</v>
      </c>
      <c r="AC224" s="63"/>
      <c r="AD224" s="63"/>
      <c r="AE224" s="63"/>
      <c r="AF224" s="63"/>
      <c r="AG224" s="61">
        <f>SUM(AC224:AF224)</f>
        <v>0</v>
      </c>
      <c r="AH224" s="63"/>
      <c r="AI224" s="63"/>
      <c r="AJ224" s="63"/>
      <c r="AK224" s="63"/>
      <c r="AL224" s="61">
        <f>SUM(AH224:AK224)</f>
        <v>0</v>
      </c>
      <c r="AM224" s="68">
        <f t="shared" si="46"/>
        <v>0</v>
      </c>
    </row>
    <row r="225" spans="1:39" x14ac:dyDescent="0.35">
      <c r="A225" s="66" t="s">
        <v>313</v>
      </c>
      <c r="B225" s="67">
        <v>11</v>
      </c>
      <c r="C225" s="66"/>
      <c r="D225" s="66">
        <f t="shared" ref="D225:AL225" si="53">SUM(D221:D224)</f>
        <v>0</v>
      </c>
      <c r="E225" s="66">
        <f t="shared" si="53"/>
        <v>0</v>
      </c>
      <c r="F225" s="66">
        <f t="shared" si="53"/>
        <v>0</v>
      </c>
      <c r="G225" s="66">
        <f t="shared" si="53"/>
        <v>0</v>
      </c>
      <c r="H225" s="61">
        <f t="shared" si="53"/>
        <v>0</v>
      </c>
      <c r="I225" s="66">
        <f t="shared" si="53"/>
        <v>0</v>
      </c>
      <c r="J225" s="66">
        <f t="shared" si="53"/>
        <v>0</v>
      </c>
      <c r="K225" s="66">
        <f t="shared" si="53"/>
        <v>0</v>
      </c>
      <c r="L225" s="66">
        <f t="shared" si="53"/>
        <v>0</v>
      </c>
      <c r="M225" s="61">
        <f t="shared" si="53"/>
        <v>0</v>
      </c>
      <c r="N225" s="66">
        <f t="shared" si="53"/>
        <v>0</v>
      </c>
      <c r="O225" s="66">
        <f t="shared" si="53"/>
        <v>0</v>
      </c>
      <c r="P225" s="66">
        <f t="shared" si="53"/>
        <v>0</v>
      </c>
      <c r="Q225" s="66">
        <f t="shared" si="53"/>
        <v>0</v>
      </c>
      <c r="R225" s="61">
        <f t="shared" si="53"/>
        <v>0</v>
      </c>
      <c r="S225" s="66">
        <f t="shared" si="53"/>
        <v>0</v>
      </c>
      <c r="T225" s="66">
        <f t="shared" si="53"/>
        <v>0</v>
      </c>
      <c r="U225" s="66">
        <f t="shared" si="53"/>
        <v>0</v>
      </c>
      <c r="V225" s="66">
        <f t="shared" si="53"/>
        <v>0</v>
      </c>
      <c r="W225" s="61">
        <f t="shared" si="53"/>
        <v>0</v>
      </c>
      <c r="X225" s="66">
        <f t="shared" si="53"/>
        <v>0</v>
      </c>
      <c r="Y225" s="66">
        <f t="shared" si="53"/>
        <v>0</v>
      </c>
      <c r="Z225" s="66">
        <f t="shared" si="53"/>
        <v>0</v>
      </c>
      <c r="AA225" s="66">
        <f t="shared" si="53"/>
        <v>0</v>
      </c>
      <c r="AB225" s="61">
        <f t="shared" si="53"/>
        <v>0</v>
      </c>
      <c r="AC225" s="66">
        <f t="shared" si="53"/>
        <v>0</v>
      </c>
      <c r="AD225" s="66">
        <f t="shared" si="53"/>
        <v>0</v>
      </c>
      <c r="AE225" s="66">
        <f t="shared" si="53"/>
        <v>0</v>
      </c>
      <c r="AF225" s="66">
        <f t="shared" si="53"/>
        <v>0</v>
      </c>
      <c r="AG225" s="61">
        <f t="shared" si="53"/>
        <v>0</v>
      </c>
      <c r="AH225" s="66">
        <f t="shared" si="53"/>
        <v>0</v>
      </c>
      <c r="AI225" s="66">
        <f t="shared" si="53"/>
        <v>0</v>
      </c>
      <c r="AJ225" s="66">
        <f t="shared" si="53"/>
        <v>0</v>
      </c>
      <c r="AK225" s="66">
        <f t="shared" si="53"/>
        <v>0</v>
      </c>
      <c r="AL225" s="61">
        <f t="shared" si="53"/>
        <v>0</v>
      </c>
      <c r="AM225" s="68">
        <f t="shared" si="46"/>
        <v>0</v>
      </c>
    </row>
    <row r="226" spans="1:39" hidden="1" x14ac:dyDescent="0.35">
      <c r="A226" s="59" t="s">
        <v>314</v>
      </c>
      <c r="B226" s="54">
        <v>8</v>
      </c>
      <c r="C226" s="60" t="s">
        <v>225</v>
      </c>
      <c r="D226" s="60">
        <v>3</v>
      </c>
      <c r="E226" s="60"/>
      <c r="F226" s="60"/>
      <c r="G226" s="60"/>
      <c r="H226" s="61">
        <f>SUM(D226:G226)</f>
        <v>3</v>
      </c>
      <c r="I226" s="60"/>
      <c r="J226" s="60"/>
      <c r="K226" s="60"/>
      <c r="L226" s="60"/>
      <c r="M226" s="61">
        <f>SUM(I226:L226)</f>
        <v>0</v>
      </c>
      <c r="N226" s="60"/>
      <c r="O226" s="60"/>
      <c r="P226" s="60"/>
      <c r="Q226" s="60"/>
      <c r="R226" s="61">
        <f>SUM(N226:Q226)</f>
        <v>0</v>
      </c>
      <c r="S226" s="60"/>
      <c r="T226" s="60"/>
      <c r="U226" s="60"/>
      <c r="V226" s="60"/>
      <c r="W226" s="61">
        <f>SUM(S226:V226)</f>
        <v>0</v>
      </c>
      <c r="X226" s="60"/>
      <c r="Y226" s="60"/>
      <c r="Z226" s="60"/>
      <c r="AA226" s="60"/>
      <c r="AB226" s="61">
        <f>SUM(X226:AA226)</f>
        <v>0</v>
      </c>
      <c r="AC226" s="60"/>
      <c r="AD226" s="60"/>
      <c r="AE226" s="60"/>
      <c r="AF226" s="60"/>
      <c r="AG226" s="61">
        <f>SUM(AC226:AF226)</f>
        <v>0</v>
      </c>
      <c r="AH226" s="60"/>
      <c r="AI226" s="60"/>
      <c r="AJ226" s="60"/>
      <c r="AK226" s="60"/>
      <c r="AL226" s="61">
        <f>SUM(AH226:AK226)</f>
        <v>0</v>
      </c>
      <c r="AM226" s="68">
        <f t="shared" si="46"/>
        <v>3</v>
      </c>
    </row>
    <row r="227" spans="1:39" hidden="1" x14ac:dyDescent="0.35">
      <c r="A227" s="111" t="s">
        <v>296</v>
      </c>
      <c r="B227" s="54"/>
      <c r="C227" s="63" t="s">
        <v>227</v>
      </c>
      <c r="D227" s="63">
        <v>5</v>
      </c>
      <c r="E227" s="63"/>
      <c r="F227" s="63"/>
      <c r="G227" s="63"/>
      <c r="H227" s="61">
        <f>SUM(D227:G227)</f>
        <v>5</v>
      </c>
      <c r="I227" s="63">
        <v>2</v>
      </c>
      <c r="J227" s="63"/>
      <c r="K227" s="63"/>
      <c r="L227" s="63"/>
      <c r="M227" s="61">
        <f>SUM(I227:L227)</f>
        <v>2</v>
      </c>
      <c r="N227" s="63">
        <v>1</v>
      </c>
      <c r="O227" s="63"/>
      <c r="P227" s="63"/>
      <c r="Q227" s="63"/>
      <c r="R227" s="61">
        <f>SUM(N227:Q227)</f>
        <v>1</v>
      </c>
      <c r="S227" s="63"/>
      <c r="T227" s="63"/>
      <c r="U227" s="63"/>
      <c r="V227" s="63"/>
      <c r="W227" s="61">
        <f>SUM(S227:V227)</f>
        <v>0</v>
      </c>
      <c r="X227" s="63"/>
      <c r="Y227" s="63"/>
      <c r="Z227" s="63"/>
      <c r="AA227" s="63"/>
      <c r="AB227" s="61">
        <f>SUM(X227:AA227)</f>
        <v>0</v>
      </c>
      <c r="AC227" s="63"/>
      <c r="AD227" s="63"/>
      <c r="AE227" s="63"/>
      <c r="AF227" s="63"/>
      <c r="AG227" s="61">
        <f>SUM(AC227:AF227)</f>
        <v>0</v>
      </c>
      <c r="AH227" s="63"/>
      <c r="AI227" s="63"/>
      <c r="AJ227" s="63"/>
      <c r="AK227" s="63"/>
      <c r="AL227" s="61">
        <f>SUM(AH227:AK227)</f>
        <v>0</v>
      </c>
      <c r="AM227" s="68">
        <f t="shared" si="46"/>
        <v>8</v>
      </c>
    </row>
    <row r="228" spans="1:39" hidden="1" x14ac:dyDescent="0.35">
      <c r="A228" s="111"/>
      <c r="B228" s="54"/>
      <c r="C228" s="60" t="s">
        <v>228</v>
      </c>
      <c r="D228" s="60">
        <v>3</v>
      </c>
      <c r="E228" s="60"/>
      <c r="F228" s="60"/>
      <c r="G228" s="60"/>
      <c r="H228" s="61">
        <f>SUM(D228:G228)</f>
        <v>3</v>
      </c>
      <c r="I228" s="60">
        <v>2</v>
      </c>
      <c r="J228" s="60"/>
      <c r="K228" s="60"/>
      <c r="L228" s="60"/>
      <c r="M228" s="61">
        <f>SUM(I228:L228)</f>
        <v>2</v>
      </c>
      <c r="N228" s="60">
        <v>1</v>
      </c>
      <c r="O228" s="60"/>
      <c r="P228" s="60"/>
      <c r="Q228" s="60"/>
      <c r="R228" s="61">
        <f>SUM(N228:Q228)</f>
        <v>1</v>
      </c>
      <c r="S228" s="60"/>
      <c r="T228" s="60"/>
      <c r="U228" s="60"/>
      <c r="V228" s="60"/>
      <c r="W228" s="61">
        <f>SUM(S228:V228)</f>
        <v>0</v>
      </c>
      <c r="X228" s="60"/>
      <c r="Y228" s="60"/>
      <c r="Z228" s="60"/>
      <c r="AA228" s="60"/>
      <c r="AB228" s="61">
        <f>SUM(X228:AA228)</f>
        <v>0</v>
      </c>
      <c r="AC228" s="60"/>
      <c r="AD228" s="60"/>
      <c r="AE228" s="60"/>
      <c r="AF228" s="60"/>
      <c r="AG228" s="61">
        <f>SUM(AC228:AF228)</f>
        <v>0</v>
      </c>
      <c r="AH228" s="60"/>
      <c r="AI228" s="60"/>
      <c r="AJ228" s="60"/>
      <c r="AK228" s="60"/>
      <c r="AL228" s="61">
        <f>SUM(AH228:AK228)</f>
        <v>0</v>
      </c>
      <c r="AM228" s="68">
        <f t="shared" si="46"/>
        <v>6</v>
      </c>
    </row>
    <row r="229" spans="1:39" hidden="1" x14ac:dyDescent="0.35">
      <c r="A229" s="111"/>
      <c r="B229" s="54"/>
      <c r="C229" s="63" t="s">
        <v>235</v>
      </c>
      <c r="D229" s="63">
        <v>5</v>
      </c>
      <c r="E229" s="63"/>
      <c r="F229" s="63"/>
      <c r="G229" s="63"/>
      <c r="H229" s="61">
        <f>SUM(D229:G229)</f>
        <v>5</v>
      </c>
      <c r="I229" s="63">
        <v>3</v>
      </c>
      <c r="J229" s="63"/>
      <c r="K229" s="63"/>
      <c r="L229" s="63"/>
      <c r="M229" s="61">
        <f>SUM(I229:L229)</f>
        <v>3</v>
      </c>
      <c r="N229" s="63">
        <v>1</v>
      </c>
      <c r="O229" s="63"/>
      <c r="P229" s="63"/>
      <c r="Q229" s="63"/>
      <c r="R229" s="61">
        <f>SUM(N229:Q229)</f>
        <v>1</v>
      </c>
      <c r="S229" s="63"/>
      <c r="T229" s="63"/>
      <c r="U229" s="63"/>
      <c r="V229" s="63"/>
      <c r="W229" s="61">
        <f>SUM(S229:V229)</f>
        <v>0</v>
      </c>
      <c r="X229" s="63"/>
      <c r="Y229" s="63"/>
      <c r="Z229" s="63"/>
      <c r="AA229" s="63"/>
      <c r="AB229" s="61">
        <f>SUM(X229:AA229)</f>
        <v>0</v>
      </c>
      <c r="AC229" s="63"/>
      <c r="AD229" s="63"/>
      <c r="AE229" s="63"/>
      <c r="AF229" s="63"/>
      <c r="AG229" s="61">
        <f>SUM(AC229:AF229)</f>
        <v>0</v>
      </c>
      <c r="AH229" s="63"/>
      <c r="AI229" s="63"/>
      <c r="AJ229" s="63"/>
      <c r="AK229" s="63"/>
      <c r="AL229" s="61">
        <f>SUM(AH229:AK229)</f>
        <v>0</v>
      </c>
      <c r="AM229" s="68">
        <f t="shared" si="46"/>
        <v>9</v>
      </c>
    </row>
    <row r="230" spans="1:39" x14ac:dyDescent="0.35">
      <c r="A230" s="66" t="s">
        <v>314</v>
      </c>
      <c r="B230" s="67">
        <v>8</v>
      </c>
      <c r="C230" s="66"/>
      <c r="D230" s="66">
        <f t="shared" ref="D230:AL230" si="54">SUM(D226:D229)</f>
        <v>16</v>
      </c>
      <c r="E230" s="66">
        <f t="shared" si="54"/>
        <v>0</v>
      </c>
      <c r="F230" s="66">
        <f t="shared" si="54"/>
        <v>0</v>
      </c>
      <c r="G230" s="66">
        <f t="shared" si="54"/>
        <v>0</v>
      </c>
      <c r="H230" s="61">
        <f t="shared" si="54"/>
        <v>16</v>
      </c>
      <c r="I230" s="66">
        <f t="shared" si="54"/>
        <v>7</v>
      </c>
      <c r="J230" s="66">
        <f t="shared" si="54"/>
        <v>0</v>
      </c>
      <c r="K230" s="66">
        <f t="shared" si="54"/>
        <v>0</v>
      </c>
      <c r="L230" s="66">
        <f t="shared" si="54"/>
        <v>0</v>
      </c>
      <c r="M230" s="61">
        <f t="shared" si="54"/>
        <v>7</v>
      </c>
      <c r="N230" s="66">
        <f t="shared" si="54"/>
        <v>3</v>
      </c>
      <c r="O230" s="66">
        <f t="shared" si="54"/>
        <v>0</v>
      </c>
      <c r="P230" s="66">
        <f t="shared" si="54"/>
        <v>0</v>
      </c>
      <c r="Q230" s="66">
        <f t="shared" si="54"/>
        <v>0</v>
      </c>
      <c r="R230" s="61">
        <f t="shared" si="54"/>
        <v>3</v>
      </c>
      <c r="S230" s="66">
        <f t="shared" si="54"/>
        <v>0</v>
      </c>
      <c r="T230" s="66">
        <f t="shared" si="54"/>
        <v>0</v>
      </c>
      <c r="U230" s="66">
        <f t="shared" si="54"/>
        <v>0</v>
      </c>
      <c r="V230" s="66">
        <f t="shared" si="54"/>
        <v>0</v>
      </c>
      <c r="W230" s="61">
        <f t="shared" si="54"/>
        <v>0</v>
      </c>
      <c r="X230" s="66">
        <f t="shared" si="54"/>
        <v>0</v>
      </c>
      <c r="Y230" s="66">
        <f t="shared" si="54"/>
        <v>0</v>
      </c>
      <c r="Z230" s="66">
        <f t="shared" si="54"/>
        <v>0</v>
      </c>
      <c r="AA230" s="66">
        <f t="shared" si="54"/>
        <v>0</v>
      </c>
      <c r="AB230" s="61">
        <f t="shared" si="54"/>
        <v>0</v>
      </c>
      <c r="AC230" s="66">
        <f t="shared" si="54"/>
        <v>0</v>
      </c>
      <c r="AD230" s="66">
        <f t="shared" si="54"/>
        <v>0</v>
      </c>
      <c r="AE230" s="66">
        <f t="shared" si="54"/>
        <v>0</v>
      </c>
      <c r="AF230" s="66">
        <f t="shared" si="54"/>
        <v>0</v>
      </c>
      <c r="AG230" s="61">
        <f t="shared" si="54"/>
        <v>0</v>
      </c>
      <c r="AH230" s="66">
        <f t="shared" si="54"/>
        <v>0</v>
      </c>
      <c r="AI230" s="66">
        <f t="shared" si="54"/>
        <v>0</v>
      </c>
      <c r="AJ230" s="66">
        <f t="shared" si="54"/>
        <v>0</v>
      </c>
      <c r="AK230" s="66">
        <f t="shared" si="54"/>
        <v>0</v>
      </c>
      <c r="AL230" s="61">
        <f t="shared" si="54"/>
        <v>0</v>
      </c>
      <c r="AM230" s="68">
        <f t="shared" si="46"/>
        <v>26</v>
      </c>
    </row>
    <row r="231" spans="1:39" hidden="1" x14ac:dyDescent="0.35">
      <c r="A231" s="59" t="s">
        <v>315</v>
      </c>
      <c r="B231" s="54" t="s">
        <v>266</v>
      </c>
      <c r="C231" s="60" t="s">
        <v>225</v>
      </c>
      <c r="D231" s="60">
        <v>2</v>
      </c>
      <c r="E231" s="60"/>
      <c r="F231" s="60"/>
      <c r="G231" s="60"/>
      <c r="H231" s="61">
        <f>SUM(D231:G231)</f>
        <v>2</v>
      </c>
      <c r="I231" s="60"/>
      <c r="J231" s="60"/>
      <c r="K231" s="60"/>
      <c r="L231" s="60"/>
      <c r="M231" s="61">
        <f>SUM(I231:L231)</f>
        <v>0</v>
      </c>
      <c r="N231" s="60">
        <v>1</v>
      </c>
      <c r="O231" s="60"/>
      <c r="P231" s="60"/>
      <c r="Q231" s="60"/>
      <c r="R231" s="61">
        <f>SUM(N231:Q231)</f>
        <v>1</v>
      </c>
      <c r="S231" s="60"/>
      <c r="T231" s="60"/>
      <c r="U231" s="60"/>
      <c r="V231" s="60"/>
      <c r="W231" s="61">
        <f>SUM(S231:V231)</f>
        <v>0</v>
      </c>
      <c r="X231" s="60"/>
      <c r="Y231" s="60"/>
      <c r="Z231" s="60"/>
      <c r="AA231" s="60"/>
      <c r="AB231" s="61">
        <f>SUM(X231:AA231)</f>
        <v>0</v>
      </c>
      <c r="AC231" s="60"/>
      <c r="AD231" s="60"/>
      <c r="AE231" s="60"/>
      <c r="AF231" s="60"/>
      <c r="AG231" s="61">
        <f>SUM(AC231:AF231)</f>
        <v>0</v>
      </c>
      <c r="AH231" s="60"/>
      <c r="AI231" s="60"/>
      <c r="AJ231" s="60"/>
      <c r="AK231" s="60"/>
      <c r="AL231" s="61">
        <f>SUM(AH231:AK231)</f>
        <v>0</v>
      </c>
      <c r="AM231" s="68">
        <f t="shared" si="46"/>
        <v>3</v>
      </c>
    </row>
    <row r="232" spans="1:39" hidden="1" x14ac:dyDescent="0.35">
      <c r="A232" s="111" t="s">
        <v>397</v>
      </c>
      <c r="B232" s="54"/>
      <c r="C232" s="63" t="s">
        <v>227</v>
      </c>
      <c r="D232" s="63">
        <v>7</v>
      </c>
      <c r="E232" s="63"/>
      <c r="F232" s="63"/>
      <c r="G232" s="63"/>
      <c r="H232" s="61">
        <f>SUM(D232:G232)</f>
        <v>7</v>
      </c>
      <c r="I232" s="63"/>
      <c r="J232" s="63"/>
      <c r="K232" s="63"/>
      <c r="L232" s="63"/>
      <c r="M232" s="61">
        <f>SUM(I232:L232)</f>
        <v>0</v>
      </c>
      <c r="N232" s="63"/>
      <c r="O232" s="63"/>
      <c r="P232" s="63"/>
      <c r="Q232" s="63"/>
      <c r="R232" s="61">
        <f>SUM(N232:Q232)</f>
        <v>0</v>
      </c>
      <c r="S232" s="63"/>
      <c r="T232" s="63"/>
      <c r="U232" s="63"/>
      <c r="V232" s="63"/>
      <c r="W232" s="61">
        <f>SUM(S232:V232)</f>
        <v>0</v>
      </c>
      <c r="X232" s="63"/>
      <c r="Y232" s="63"/>
      <c r="Z232" s="63"/>
      <c r="AA232" s="63"/>
      <c r="AB232" s="61">
        <f>SUM(X232:AA232)</f>
        <v>0</v>
      </c>
      <c r="AC232" s="63"/>
      <c r="AD232" s="63"/>
      <c r="AE232" s="63"/>
      <c r="AF232" s="63"/>
      <c r="AG232" s="61">
        <f>SUM(AC232:AF232)</f>
        <v>0</v>
      </c>
      <c r="AH232" s="63"/>
      <c r="AI232" s="63"/>
      <c r="AJ232" s="63"/>
      <c r="AK232" s="63"/>
      <c r="AL232" s="61">
        <f>SUM(AH232:AK232)</f>
        <v>0</v>
      </c>
      <c r="AM232" s="68">
        <f t="shared" si="46"/>
        <v>7</v>
      </c>
    </row>
    <row r="233" spans="1:39" hidden="1" x14ac:dyDescent="0.35">
      <c r="A233" s="111"/>
      <c r="B233" s="54"/>
      <c r="C233" s="60" t="s">
        <v>228</v>
      </c>
      <c r="D233" s="60">
        <v>3</v>
      </c>
      <c r="E233" s="60"/>
      <c r="F233" s="60"/>
      <c r="G233" s="60"/>
      <c r="H233" s="61">
        <f>SUM(D233:G233)</f>
        <v>3</v>
      </c>
      <c r="I233" s="60"/>
      <c r="J233" s="60"/>
      <c r="K233" s="60"/>
      <c r="L233" s="60"/>
      <c r="M233" s="61">
        <f>SUM(I233:L233)</f>
        <v>0</v>
      </c>
      <c r="N233" s="60"/>
      <c r="O233" s="60"/>
      <c r="P233" s="60"/>
      <c r="Q233" s="60"/>
      <c r="R233" s="61">
        <f>SUM(N233:Q233)</f>
        <v>0</v>
      </c>
      <c r="S233" s="60"/>
      <c r="T233" s="60"/>
      <c r="U233" s="60"/>
      <c r="V233" s="60"/>
      <c r="W233" s="61">
        <f>SUM(S233:V233)</f>
        <v>0</v>
      </c>
      <c r="X233" s="60"/>
      <c r="Y233" s="60"/>
      <c r="Z233" s="60"/>
      <c r="AA233" s="60"/>
      <c r="AB233" s="61">
        <f>SUM(X233:AA233)</f>
        <v>0</v>
      </c>
      <c r="AC233" s="60"/>
      <c r="AD233" s="60"/>
      <c r="AE233" s="60"/>
      <c r="AF233" s="60"/>
      <c r="AG233" s="61">
        <f>SUM(AC233:AF233)</f>
        <v>0</v>
      </c>
      <c r="AH233" s="60"/>
      <c r="AI233" s="60"/>
      <c r="AJ233" s="60"/>
      <c r="AK233" s="60"/>
      <c r="AL233" s="61">
        <f>SUM(AH233:AK233)</f>
        <v>0</v>
      </c>
      <c r="AM233" s="68">
        <f t="shared" si="46"/>
        <v>3</v>
      </c>
    </row>
    <row r="234" spans="1:39" hidden="1" x14ac:dyDescent="0.35">
      <c r="A234" s="111"/>
      <c r="B234" s="54"/>
      <c r="C234" s="63" t="s">
        <v>235</v>
      </c>
      <c r="D234" s="63">
        <v>4</v>
      </c>
      <c r="E234" s="63"/>
      <c r="F234" s="63"/>
      <c r="G234" s="63"/>
      <c r="H234" s="61">
        <f>SUM(D234:G234)</f>
        <v>4</v>
      </c>
      <c r="I234" s="63"/>
      <c r="J234" s="63"/>
      <c r="K234" s="63"/>
      <c r="L234" s="63"/>
      <c r="M234" s="61">
        <f>SUM(I234:L234)</f>
        <v>0</v>
      </c>
      <c r="N234" s="63"/>
      <c r="O234" s="63"/>
      <c r="P234" s="63"/>
      <c r="Q234" s="63"/>
      <c r="R234" s="61">
        <f>SUM(N234:Q234)</f>
        <v>0</v>
      </c>
      <c r="S234" s="63"/>
      <c r="T234" s="63"/>
      <c r="U234" s="63"/>
      <c r="V234" s="63"/>
      <c r="W234" s="61">
        <f>SUM(S234:V234)</f>
        <v>0</v>
      </c>
      <c r="X234" s="63"/>
      <c r="Y234" s="63"/>
      <c r="Z234" s="63"/>
      <c r="AA234" s="63"/>
      <c r="AB234" s="61">
        <f>SUM(X234:AA234)</f>
        <v>0</v>
      </c>
      <c r="AC234" s="63"/>
      <c r="AD234" s="63"/>
      <c r="AE234" s="63"/>
      <c r="AF234" s="63"/>
      <c r="AG234" s="61">
        <f>SUM(AC234:AF234)</f>
        <v>0</v>
      </c>
      <c r="AH234" s="63"/>
      <c r="AI234" s="63"/>
      <c r="AJ234" s="63"/>
      <c r="AK234" s="63"/>
      <c r="AL234" s="61">
        <f>SUM(AH234:AK234)</f>
        <v>0</v>
      </c>
      <c r="AM234" s="68">
        <f t="shared" si="46"/>
        <v>4</v>
      </c>
    </row>
    <row r="235" spans="1:39" x14ac:dyDescent="0.35">
      <c r="A235" s="66" t="s">
        <v>315</v>
      </c>
      <c r="B235" s="67" t="s">
        <v>266</v>
      </c>
      <c r="C235" s="66"/>
      <c r="D235" s="66">
        <f t="shared" ref="D235:AL235" si="55">SUM(D231:D234)</f>
        <v>16</v>
      </c>
      <c r="E235" s="66">
        <f t="shared" si="55"/>
        <v>0</v>
      </c>
      <c r="F235" s="66">
        <f t="shared" si="55"/>
        <v>0</v>
      </c>
      <c r="G235" s="66">
        <f t="shared" si="55"/>
        <v>0</v>
      </c>
      <c r="H235" s="61">
        <f t="shared" si="55"/>
        <v>16</v>
      </c>
      <c r="I235" s="66">
        <f t="shared" si="55"/>
        <v>0</v>
      </c>
      <c r="J235" s="66">
        <f t="shared" si="55"/>
        <v>0</v>
      </c>
      <c r="K235" s="66">
        <f t="shared" si="55"/>
        <v>0</v>
      </c>
      <c r="L235" s="66">
        <f t="shared" si="55"/>
        <v>0</v>
      </c>
      <c r="M235" s="61">
        <f t="shared" si="55"/>
        <v>0</v>
      </c>
      <c r="N235" s="66">
        <f t="shared" si="55"/>
        <v>1</v>
      </c>
      <c r="O235" s="66">
        <f t="shared" si="55"/>
        <v>0</v>
      </c>
      <c r="P235" s="66">
        <f t="shared" si="55"/>
        <v>0</v>
      </c>
      <c r="Q235" s="66">
        <f t="shared" si="55"/>
        <v>0</v>
      </c>
      <c r="R235" s="61">
        <f t="shared" si="55"/>
        <v>1</v>
      </c>
      <c r="S235" s="66">
        <f t="shared" si="55"/>
        <v>0</v>
      </c>
      <c r="T235" s="66">
        <f t="shared" si="55"/>
        <v>0</v>
      </c>
      <c r="U235" s="66">
        <f t="shared" si="55"/>
        <v>0</v>
      </c>
      <c r="V235" s="66">
        <f t="shared" si="55"/>
        <v>0</v>
      </c>
      <c r="W235" s="61">
        <f t="shared" si="55"/>
        <v>0</v>
      </c>
      <c r="X235" s="66">
        <f t="shared" si="55"/>
        <v>0</v>
      </c>
      <c r="Y235" s="66">
        <f t="shared" si="55"/>
        <v>0</v>
      </c>
      <c r="Z235" s="66">
        <f t="shared" si="55"/>
        <v>0</v>
      </c>
      <c r="AA235" s="66">
        <f t="shared" si="55"/>
        <v>0</v>
      </c>
      <c r="AB235" s="61">
        <f t="shared" si="55"/>
        <v>0</v>
      </c>
      <c r="AC235" s="66">
        <f t="shared" si="55"/>
        <v>0</v>
      </c>
      <c r="AD235" s="66">
        <f t="shared" si="55"/>
        <v>0</v>
      </c>
      <c r="AE235" s="66">
        <f t="shared" si="55"/>
        <v>0</v>
      </c>
      <c r="AF235" s="66">
        <f t="shared" si="55"/>
        <v>0</v>
      </c>
      <c r="AG235" s="61">
        <f t="shared" si="55"/>
        <v>0</v>
      </c>
      <c r="AH235" s="66">
        <f t="shared" si="55"/>
        <v>0</v>
      </c>
      <c r="AI235" s="66">
        <f t="shared" si="55"/>
        <v>0</v>
      </c>
      <c r="AJ235" s="66">
        <f t="shared" si="55"/>
        <v>0</v>
      </c>
      <c r="AK235" s="66">
        <f t="shared" si="55"/>
        <v>0</v>
      </c>
      <c r="AL235" s="61">
        <f t="shared" si="55"/>
        <v>0</v>
      </c>
      <c r="AM235" s="68">
        <f t="shared" si="46"/>
        <v>17</v>
      </c>
    </row>
    <row r="236" spans="1:39" hidden="1" x14ac:dyDescent="0.35">
      <c r="A236" s="59" t="s">
        <v>316</v>
      </c>
      <c r="B236" s="54">
        <v>30</v>
      </c>
      <c r="C236" s="60" t="s">
        <v>225</v>
      </c>
      <c r="D236" s="60"/>
      <c r="E236" s="60"/>
      <c r="F236" s="60"/>
      <c r="G236" s="60"/>
      <c r="H236" s="61">
        <f>SUM(D236:G236)</f>
        <v>0</v>
      </c>
      <c r="I236" s="60"/>
      <c r="J236" s="60"/>
      <c r="K236" s="60"/>
      <c r="L236" s="60"/>
      <c r="M236" s="61">
        <f>SUM(I236:L236)</f>
        <v>0</v>
      </c>
      <c r="N236" s="60"/>
      <c r="O236" s="60"/>
      <c r="P236" s="60"/>
      <c r="Q236" s="60"/>
      <c r="R236" s="61">
        <f>SUM(N236:Q236)</f>
        <v>0</v>
      </c>
      <c r="S236" s="60"/>
      <c r="T236" s="60"/>
      <c r="U236" s="60"/>
      <c r="V236" s="60"/>
      <c r="W236" s="61">
        <f>SUM(S236:V236)</f>
        <v>0</v>
      </c>
      <c r="X236" s="60"/>
      <c r="Y236" s="60"/>
      <c r="Z236" s="60"/>
      <c r="AA236" s="60"/>
      <c r="AB236" s="61">
        <f>SUM(X236:AA236)</f>
        <v>0</v>
      </c>
      <c r="AC236" s="60"/>
      <c r="AD236" s="60"/>
      <c r="AE236" s="60"/>
      <c r="AF236" s="60"/>
      <c r="AG236" s="61">
        <f>SUM(AC236:AF236)</f>
        <v>0</v>
      </c>
      <c r="AH236" s="60"/>
      <c r="AI236" s="60"/>
      <c r="AJ236" s="60"/>
      <c r="AK236" s="60"/>
      <c r="AL236" s="61">
        <f>SUM(AH236:AK236)</f>
        <v>0</v>
      </c>
      <c r="AM236" s="68">
        <f t="shared" si="46"/>
        <v>0</v>
      </c>
    </row>
    <row r="237" spans="1:39" hidden="1" x14ac:dyDescent="0.35">
      <c r="A237" s="111" t="s">
        <v>263</v>
      </c>
      <c r="B237" s="54"/>
      <c r="C237" s="63" t="s">
        <v>227</v>
      </c>
      <c r="D237" s="63"/>
      <c r="E237" s="63"/>
      <c r="F237" s="63"/>
      <c r="G237" s="63"/>
      <c r="H237" s="61">
        <f>SUM(D237:G237)</f>
        <v>0</v>
      </c>
      <c r="I237" s="63"/>
      <c r="J237" s="63"/>
      <c r="K237" s="63"/>
      <c r="L237" s="63"/>
      <c r="M237" s="61">
        <f>SUM(I237:L237)</f>
        <v>0</v>
      </c>
      <c r="N237" s="63"/>
      <c r="O237" s="63"/>
      <c r="P237" s="63"/>
      <c r="Q237" s="63"/>
      <c r="R237" s="61">
        <f>SUM(N237:Q237)</f>
        <v>0</v>
      </c>
      <c r="S237" s="63"/>
      <c r="T237" s="63"/>
      <c r="U237" s="63"/>
      <c r="V237" s="63"/>
      <c r="W237" s="61">
        <f>SUM(S237:V237)</f>
        <v>0</v>
      </c>
      <c r="X237" s="63"/>
      <c r="Y237" s="63"/>
      <c r="Z237" s="63"/>
      <c r="AA237" s="63"/>
      <c r="AB237" s="61">
        <f>SUM(X237:AA237)</f>
        <v>0</v>
      </c>
      <c r="AC237" s="63"/>
      <c r="AD237" s="63"/>
      <c r="AE237" s="63"/>
      <c r="AF237" s="63"/>
      <c r="AG237" s="61">
        <f>SUM(AC237:AF237)</f>
        <v>0</v>
      </c>
      <c r="AH237" s="63"/>
      <c r="AI237" s="63"/>
      <c r="AJ237" s="63"/>
      <c r="AK237" s="63"/>
      <c r="AL237" s="61">
        <f>SUM(AH237:AK237)</f>
        <v>0</v>
      </c>
      <c r="AM237" s="68">
        <f t="shared" si="46"/>
        <v>0</v>
      </c>
    </row>
    <row r="238" spans="1:39" hidden="1" x14ac:dyDescent="0.35">
      <c r="A238" s="111"/>
      <c r="B238" s="54"/>
      <c r="C238" s="60" t="s">
        <v>228</v>
      </c>
      <c r="D238" s="60"/>
      <c r="E238" s="60"/>
      <c r="F238" s="60"/>
      <c r="G238" s="60"/>
      <c r="H238" s="61">
        <f>SUM(D238:G238)</f>
        <v>0</v>
      </c>
      <c r="I238" s="60"/>
      <c r="J238" s="60"/>
      <c r="K238" s="60"/>
      <c r="L238" s="60"/>
      <c r="M238" s="61">
        <f>SUM(I238:L238)</f>
        <v>0</v>
      </c>
      <c r="N238" s="60"/>
      <c r="O238" s="60"/>
      <c r="P238" s="60"/>
      <c r="Q238" s="60"/>
      <c r="R238" s="61">
        <f>SUM(N238:Q238)</f>
        <v>0</v>
      </c>
      <c r="S238" s="60"/>
      <c r="T238" s="60"/>
      <c r="U238" s="60"/>
      <c r="V238" s="60"/>
      <c r="W238" s="61">
        <f>SUM(S238:V238)</f>
        <v>0</v>
      </c>
      <c r="X238" s="60"/>
      <c r="Y238" s="60"/>
      <c r="Z238" s="60"/>
      <c r="AA238" s="60"/>
      <c r="AB238" s="61">
        <f>SUM(X238:AA238)</f>
        <v>0</v>
      </c>
      <c r="AC238" s="60"/>
      <c r="AD238" s="60"/>
      <c r="AE238" s="60"/>
      <c r="AF238" s="60"/>
      <c r="AG238" s="61">
        <f>SUM(AC238:AF238)</f>
        <v>0</v>
      </c>
      <c r="AH238" s="60"/>
      <c r="AI238" s="60"/>
      <c r="AJ238" s="60"/>
      <c r="AK238" s="60"/>
      <c r="AL238" s="61">
        <f>SUM(AH238:AK238)</f>
        <v>0</v>
      </c>
      <c r="AM238" s="68">
        <f t="shared" si="46"/>
        <v>0</v>
      </c>
    </row>
    <row r="239" spans="1:39" hidden="1" x14ac:dyDescent="0.35">
      <c r="A239" s="111"/>
      <c r="B239" s="54"/>
      <c r="C239" s="63" t="s">
        <v>235</v>
      </c>
      <c r="D239" s="63"/>
      <c r="E239" s="63"/>
      <c r="F239" s="63"/>
      <c r="G239" s="63"/>
      <c r="H239" s="61">
        <f>SUM(D239:G239)</f>
        <v>0</v>
      </c>
      <c r="I239" s="63"/>
      <c r="J239" s="63"/>
      <c r="K239" s="63"/>
      <c r="L239" s="63"/>
      <c r="M239" s="61">
        <f>SUM(I239:L239)</f>
        <v>0</v>
      </c>
      <c r="N239" s="63"/>
      <c r="O239" s="63"/>
      <c r="P239" s="63"/>
      <c r="Q239" s="63"/>
      <c r="R239" s="61">
        <f>SUM(N239:Q239)</f>
        <v>0</v>
      </c>
      <c r="S239" s="63"/>
      <c r="T239" s="63"/>
      <c r="U239" s="63"/>
      <c r="V239" s="63"/>
      <c r="W239" s="61">
        <f>SUM(S239:V239)</f>
        <v>0</v>
      </c>
      <c r="X239" s="63"/>
      <c r="Y239" s="63"/>
      <c r="Z239" s="63"/>
      <c r="AA239" s="63"/>
      <c r="AB239" s="61">
        <f>SUM(X239:AA239)</f>
        <v>0</v>
      </c>
      <c r="AC239" s="63"/>
      <c r="AD239" s="63"/>
      <c r="AE239" s="63"/>
      <c r="AF239" s="63"/>
      <c r="AG239" s="61">
        <f>SUM(AC239:AF239)</f>
        <v>0</v>
      </c>
      <c r="AH239" s="63"/>
      <c r="AI239" s="63"/>
      <c r="AJ239" s="63"/>
      <c r="AK239" s="63"/>
      <c r="AL239" s="61">
        <f>SUM(AH239:AK239)</f>
        <v>0</v>
      </c>
      <c r="AM239" s="68">
        <f t="shared" si="46"/>
        <v>0</v>
      </c>
    </row>
    <row r="240" spans="1:39" x14ac:dyDescent="0.35">
      <c r="A240" s="66" t="s">
        <v>316</v>
      </c>
      <c r="B240" s="67">
        <v>30</v>
      </c>
      <c r="C240" s="66"/>
      <c r="D240" s="66">
        <f t="shared" ref="D240:AL240" si="56">SUM(D236:D239)</f>
        <v>0</v>
      </c>
      <c r="E240" s="66">
        <f t="shared" si="56"/>
        <v>0</v>
      </c>
      <c r="F240" s="66">
        <f t="shared" si="56"/>
        <v>0</v>
      </c>
      <c r="G240" s="66">
        <f t="shared" si="56"/>
        <v>0</v>
      </c>
      <c r="H240" s="61">
        <f t="shared" si="56"/>
        <v>0</v>
      </c>
      <c r="I240" s="66">
        <f t="shared" si="56"/>
        <v>0</v>
      </c>
      <c r="J240" s="66">
        <f t="shared" si="56"/>
        <v>0</v>
      </c>
      <c r="K240" s="66">
        <f t="shared" si="56"/>
        <v>0</v>
      </c>
      <c r="L240" s="66">
        <f t="shared" si="56"/>
        <v>0</v>
      </c>
      <c r="M240" s="61">
        <f t="shared" si="56"/>
        <v>0</v>
      </c>
      <c r="N240" s="66">
        <f t="shared" si="56"/>
        <v>0</v>
      </c>
      <c r="O240" s="66">
        <f t="shared" si="56"/>
        <v>0</v>
      </c>
      <c r="P240" s="66">
        <f t="shared" si="56"/>
        <v>0</v>
      </c>
      <c r="Q240" s="66">
        <f t="shared" si="56"/>
        <v>0</v>
      </c>
      <c r="R240" s="61">
        <f t="shared" si="56"/>
        <v>0</v>
      </c>
      <c r="S240" s="66">
        <f t="shared" si="56"/>
        <v>0</v>
      </c>
      <c r="T240" s="66">
        <f t="shared" si="56"/>
        <v>0</v>
      </c>
      <c r="U240" s="66">
        <f t="shared" si="56"/>
        <v>0</v>
      </c>
      <c r="V240" s="66">
        <f t="shared" si="56"/>
        <v>0</v>
      </c>
      <c r="W240" s="61">
        <f t="shared" si="56"/>
        <v>0</v>
      </c>
      <c r="X240" s="66">
        <f t="shared" si="56"/>
        <v>0</v>
      </c>
      <c r="Y240" s="66">
        <f t="shared" si="56"/>
        <v>0</v>
      </c>
      <c r="Z240" s="66">
        <f t="shared" si="56"/>
        <v>0</v>
      </c>
      <c r="AA240" s="66">
        <f t="shared" si="56"/>
        <v>0</v>
      </c>
      <c r="AB240" s="61">
        <f t="shared" si="56"/>
        <v>0</v>
      </c>
      <c r="AC240" s="66">
        <f t="shared" si="56"/>
        <v>0</v>
      </c>
      <c r="AD240" s="66">
        <f t="shared" si="56"/>
        <v>0</v>
      </c>
      <c r="AE240" s="66">
        <f t="shared" si="56"/>
        <v>0</v>
      </c>
      <c r="AF240" s="66">
        <f t="shared" si="56"/>
        <v>0</v>
      </c>
      <c r="AG240" s="61">
        <f t="shared" si="56"/>
        <v>0</v>
      </c>
      <c r="AH240" s="66">
        <f t="shared" si="56"/>
        <v>0</v>
      </c>
      <c r="AI240" s="66">
        <f t="shared" si="56"/>
        <v>0</v>
      </c>
      <c r="AJ240" s="66">
        <f t="shared" si="56"/>
        <v>0</v>
      </c>
      <c r="AK240" s="66">
        <f t="shared" si="56"/>
        <v>0</v>
      </c>
      <c r="AL240" s="61">
        <f t="shared" si="56"/>
        <v>0</v>
      </c>
      <c r="AM240" s="68">
        <f t="shared" si="46"/>
        <v>0</v>
      </c>
    </row>
    <row r="241" spans="1:39" hidden="1" x14ac:dyDescent="0.35">
      <c r="A241" s="59" t="s">
        <v>317</v>
      </c>
      <c r="B241" s="54">
        <v>24</v>
      </c>
      <c r="C241" s="60" t="s">
        <v>225</v>
      </c>
      <c r="D241" s="60"/>
      <c r="E241" s="60"/>
      <c r="F241" s="60"/>
      <c r="G241" s="60"/>
      <c r="H241" s="61">
        <f>SUM(D241:G241)</f>
        <v>0</v>
      </c>
      <c r="I241" s="60"/>
      <c r="J241" s="60"/>
      <c r="K241" s="60"/>
      <c r="L241" s="60"/>
      <c r="M241" s="61">
        <f>SUM(I241:L241)</f>
        <v>0</v>
      </c>
      <c r="N241" s="60"/>
      <c r="O241" s="60"/>
      <c r="P241" s="60"/>
      <c r="Q241" s="60"/>
      <c r="R241" s="61">
        <f>SUM(N241:Q241)</f>
        <v>0</v>
      </c>
      <c r="S241" s="60"/>
      <c r="T241" s="60"/>
      <c r="U241" s="60"/>
      <c r="V241" s="60"/>
      <c r="W241" s="61">
        <f>SUM(S241:V241)</f>
        <v>0</v>
      </c>
      <c r="X241" s="60"/>
      <c r="Y241" s="60"/>
      <c r="Z241" s="60"/>
      <c r="AA241" s="60"/>
      <c r="AB241" s="61">
        <f>SUM(X241:AA241)</f>
        <v>0</v>
      </c>
      <c r="AC241" s="60"/>
      <c r="AD241" s="60"/>
      <c r="AE241" s="60"/>
      <c r="AF241" s="60"/>
      <c r="AG241" s="61">
        <f>SUM(AC241:AF241)</f>
        <v>0</v>
      </c>
      <c r="AH241" s="60"/>
      <c r="AI241" s="60"/>
      <c r="AJ241" s="60"/>
      <c r="AK241" s="60"/>
      <c r="AL241" s="61">
        <f>SUM(AH241:AK241)</f>
        <v>0</v>
      </c>
      <c r="AM241" s="68">
        <f t="shared" si="46"/>
        <v>0</v>
      </c>
    </row>
    <row r="242" spans="1:39" hidden="1" x14ac:dyDescent="0.35">
      <c r="A242" s="111" t="s">
        <v>318</v>
      </c>
      <c r="B242" s="54"/>
      <c r="C242" s="63" t="s">
        <v>227</v>
      </c>
      <c r="D242" s="63">
        <v>1</v>
      </c>
      <c r="E242" s="63"/>
      <c r="F242" s="63"/>
      <c r="G242" s="63"/>
      <c r="H242" s="61">
        <f>SUM(D242:G242)</f>
        <v>1</v>
      </c>
      <c r="I242" s="63"/>
      <c r="J242" s="63"/>
      <c r="K242" s="63"/>
      <c r="L242" s="63"/>
      <c r="M242" s="61">
        <f>SUM(I242:L242)</f>
        <v>0</v>
      </c>
      <c r="N242" s="63"/>
      <c r="O242" s="63"/>
      <c r="P242" s="63"/>
      <c r="Q242" s="63"/>
      <c r="R242" s="61">
        <f>SUM(N242:Q242)</f>
        <v>0</v>
      </c>
      <c r="S242" s="63"/>
      <c r="T242" s="63"/>
      <c r="U242" s="63"/>
      <c r="V242" s="63"/>
      <c r="W242" s="61">
        <f>SUM(S242:V242)</f>
        <v>0</v>
      </c>
      <c r="X242" s="63"/>
      <c r="Y242" s="63"/>
      <c r="Z242" s="63"/>
      <c r="AA242" s="63"/>
      <c r="AB242" s="61">
        <f>SUM(X242:AA242)</f>
        <v>0</v>
      </c>
      <c r="AC242" s="63"/>
      <c r="AD242" s="63"/>
      <c r="AE242" s="63"/>
      <c r="AF242" s="63"/>
      <c r="AG242" s="61">
        <f>SUM(AC242:AF242)</f>
        <v>0</v>
      </c>
      <c r="AH242" s="63"/>
      <c r="AI242" s="63"/>
      <c r="AJ242" s="63"/>
      <c r="AK242" s="63"/>
      <c r="AL242" s="61">
        <f>SUM(AH242:AK242)</f>
        <v>0</v>
      </c>
      <c r="AM242" s="68">
        <f t="shared" si="46"/>
        <v>1</v>
      </c>
    </row>
    <row r="243" spans="1:39" hidden="1" x14ac:dyDescent="0.35">
      <c r="A243" s="111"/>
      <c r="B243" s="54"/>
      <c r="C243" s="60" t="s">
        <v>228</v>
      </c>
      <c r="D243" s="60">
        <v>1</v>
      </c>
      <c r="E243" s="60"/>
      <c r="F243" s="60"/>
      <c r="G243" s="60"/>
      <c r="H243" s="61">
        <f>SUM(D243:G243)</f>
        <v>1</v>
      </c>
      <c r="I243" s="60"/>
      <c r="J243" s="60"/>
      <c r="K243" s="60"/>
      <c r="L243" s="60"/>
      <c r="M243" s="61">
        <f>SUM(I243:L243)</f>
        <v>0</v>
      </c>
      <c r="N243" s="60"/>
      <c r="O243" s="60"/>
      <c r="P243" s="60"/>
      <c r="Q243" s="60"/>
      <c r="R243" s="61">
        <f>SUM(N243:Q243)</f>
        <v>0</v>
      </c>
      <c r="S243" s="60"/>
      <c r="T243" s="60"/>
      <c r="U243" s="60"/>
      <c r="V243" s="60"/>
      <c r="W243" s="61">
        <f>SUM(S243:V243)</f>
        <v>0</v>
      </c>
      <c r="X243" s="60"/>
      <c r="Y243" s="60"/>
      <c r="Z243" s="60"/>
      <c r="AA243" s="60"/>
      <c r="AB243" s="61">
        <f>SUM(X243:AA243)</f>
        <v>0</v>
      </c>
      <c r="AC243" s="60"/>
      <c r="AD243" s="60"/>
      <c r="AE243" s="60"/>
      <c r="AF243" s="60"/>
      <c r="AG243" s="61">
        <f>SUM(AC243:AF243)</f>
        <v>0</v>
      </c>
      <c r="AH243" s="60"/>
      <c r="AI243" s="60"/>
      <c r="AJ243" s="60"/>
      <c r="AK243" s="60"/>
      <c r="AL243" s="61">
        <f>SUM(AH243:AK243)</f>
        <v>0</v>
      </c>
      <c r="AM243" s="68">
        <f t="shared" si="46"/>
        <v>1</v>
      </c>
    </row>
    <row r="244" spans="1:39" hidden="1" x14ac:dyDescent="0.35">
      <c r="A244" s="111"/>
      <c r="B244" s="54"/>
      <c r="C244" s="63" t="s">
        <v>235</v>
      </c>
      <c r="D244" s="63"/>
      <c r="E244" s="63"/>
      <c r="F244" s="63"/>
      <c r="G244" s="63"/>
      <c r="H244" s="61">
        <f>SUM(D244:G244)</f>
        <v>0</v>
      </c>
      <c r="I244" s="63"/>
      <c r="J244" s="63"/>
      <c r="K244" s="63"/>
      <c r="L244" s="63"/>
      <c r="M244" s="61">
        <f>SUM(I244:L244)</f>
        <v>0</v>
      </c>
      <c r="N244" s="63"/>
      <c r="O244" s="63"/>
      <c r="P244" s="63"/>
      <c r="Q244" s="63"/>
      <c r="R244" s="61">
        <f>SUM(N244:Q244)</f>
        <v>0</v>
      </c>
      <c r="S244" s="63"/>
      <c r="T244" s="63"/>
      <c r="U244" s="63"/>
      <c r="V244" s="63"/>
      <c r="W244" s="61">
        <f>SUM(S244:V244)</f>
        <v>0</v>
      </c>
      <c r="X244" s="63"/>
      <c r="Y244" s="63"/>
      <c r="Z244" s="63"/>
      <c r="AA244" s="63"/>
      <c r="AB244" s="61">
        <f>SUM(X244:AA244)</f>
        <v>0</v>
      </c>
      <c r="AC244" s="63"/>
      <c r="AD244" s="63"/>
      <c r="AE244" s="63"/>
      <c r="AF244" s="63"/>
      <c r="AG244" s="61">
        <f>SUM(AC244:AF244)</f>
        <v>0</v>
      </c>
      <c r="AH244" s="63"/>
      <c r="AI244" s="63"/>
      <c r="AJ244" s="63"/>
      <c r="AK244" s="63"/>
      <c r="AL244" s="61">
        <f>SUM(AH244:AK244)</f>
        <v>0</v>
      </c>
      <c r="AM244" s="68">
        <f t="shared" si="46"/>
        <v>0</v>
      </c>
    </row>
    <row r="245" spans="1:39" x14ac:dyDescent="0.35">
      <c r="A245" s="66" t="s">
        <v>317</v>
      </c>
      <c r="B245" s="67">
        <v>24</v>
      </c>
      <c r="C245" s="66"/>
      <c r="D245" s="66">
        <f t="shared" ref="D245:AL245" si="57">SUM(D241:D244)</f>
        <v>2</v>
      </c>
      <c r="E245" s="66">
        <f t="shared" si="57"/>
        <v>0</v>
      </c>
      <c r="F245" s="66">
        <f t="shared" si="57"/>
        <v>0</v>
      </c>
      <c r="G245" s="66">
        <f t="shared" si="57"/>
        <v>0</v>
      </c>
      <c r="H245" s="61">
        <f t="shared" si="57"/>
        <v>2</v>
      </c>
      <c r="I245" s="66">
        <f t="shared" si="57"/>
        <v>0</v>
      </c>
      <c r="J245" s="66">
        <f t="shared" si="57"/>
        <v>0</v>
      </c>
      <c r="K245" s="66">
        <f t="shared" si="57"/>
        <v>0</v>
      </c>
      <c r="L245" s="66">
        <f t="shared" si="57"/>
        <v>0</v>
      </c>
      <c r="M245" s="61">
        <f t="shared" si="57"/>
        <v>0</v>
      </c>
      <c r="N245" s="66">
        <f t="shared" si="57"/>
        <v>0</v>
      </c>
      <c r="O245" s="66">
        <f t="shared" si="57"/>
        <v>0</v>
      </c>
      <c r="P245" s="66">
        <f t="shared" si="57"/>
        <v>0</v>
      </c>
      <c r="Q245" s="66">
        <f t="shared" si="57"/>
        <v>0</v>
      </c>
      <c r="R245" s="61">
        <f t="shared" si="57"/>
        <v>0</v>
      </c>
      <c r="S245" s="66">
        <f t="shared" si="57"/>
        <v>0</v>
      </c>
      <c r="T245" s="66">
        <f t="shared" si="57"/>
        <v>0</v>
      </c>
      <c r="U245" s="66">
        <f t="shared" si="57"/>
        <v>0</v>
      </c>
      <c r="V245" s="66">
        <f t="shared" si="57"/>
        <v>0</v>
      </c>
      <c r="W245" s="61">
        <f t="shared" si="57"/>
        <v>0</v>
      </c>
      <c r="X245" s="66">
        <f t="shared" si="57"/>
        <v>0</v>
      </c>
      <c r="Y245" s="66">
        <f t="shared" si="57"/>
        <v>0</v>
      </c>
      <c r="Z245" s="66">
        <f t="shared" si="57"/>
        <v>0</v>
      </c>
      <c r="AA245" s="66">
        <f t="shared" si="57"/>
        <v>0</v>
      </c>
      <c r="AB245" s="61">
        <f t="shared" si="57"/>
        <v>0</v>
      </c>
      <c r="AC245" s="66">
        <f t="shared" si="57"/>
        <v>0</v>
      </c>
      <c r="AD245" s="66">
        <f t="shared" si="57"/>
        <v>0</v>
      </c>
      <c r="AE245" s="66">
        <f t="shared" si="57"/>
        <v>0</v>
      </c>
      <c r="AF245" s="66">
        <f t="shared" si="57"/>
        <v>0</v>
      </c>
      <c r="AG245" s="61">
        <f t="shared" si="57"/>
        <v>0</v>
      </c>
      <c r="AH245" s="66">
        <f t="shared" si="57"/>
        <v>0</v>
      </c>
      <c r="AI245" s="66">
        <f t="shared" si="57"/>
        <v>0</v>
      </c>
      <c r="AJ245" s="66">
        <f t="shared" si="57"/>
        <v>0</v>
      </c>
      <c r="AK245" s="66">
        <f t="shared" si="57"/>
        <v>0</v>
      </c>
      <c r="AL245" s="61">
        <f t="shared" si="57"/>
        <v>0</v>
      </c>
      <c r="AM245" s="68">
        <f t="shared" si="46"/>
        <v>2</v>
      </c>
    </row>
    <row r="246" spans="1:39" hidden="1" x14ac:dyDescent="0.35">
      <c r="A246" s="59" t="s">
        <v>319</v>
      </c>
      <c r="B246" s="54">
        <v>2</v>
      </c>
      <c r="C246" s="60" t="s">
        <v>225</v>
      </c>
      <c r="D246" s="60"/>
      <c r="E246" s="60"/>
      <c r="F246" s="60"/>
      <c r="G246" s="60"/>
      <c r="H246" s="61">
        <f>SUM(D246:G246)</f>
        <v>0</v>
      </c>
      <c r="I246" s="60"/>
      <c r="J246" s="60"/>
      <c r="K246" s="60"/>
      <c r="L246" s="60"/>
      <c r="M246" s="61">
        <f>SUM(I246:L246)</f>
        <v>0</v>
      </c>
      <c r="N246" s="60"/>
      <c r="O246" s="60"/>
      <c r="P246" s="60"/>
      <c r="Q246" s="60"/>
      <c r="R246" s="61">
        <f>SUM(N246:Q246)</f>
        <v>0</v>
      </c>
      <c r="S246" s="60"/>
      <c r="T246" s="60"/>
      <c r="U246" s="60"/>
      <c r="V246" s="60"/>
      <c r="W246" s="61">
        <f>SUM(S246:V246)</f>
        <v>0</v>
      </c>
      <c r="X246" s="60"/>
      <c r="Y246" s="60"/>
      <c r="Z246" s="60"/>
      <c r="AA246" s="60"/>
      <c r="AB246" s="61">
        <f>SUM(X246:AA246)</f>
        <v>0</v>
      </c>
      <c r="AC246" s="60"/>
      <c r="AD246" s="60"/>
      <c r="AE246" s="60"/>
      <c r="AF246" s="60"/>
      <c r="AG246" s="61">
        <f>SUM(AC246:AF246)</f>
        <v>0</v>
      </c>
      <c r="AH246" s="60"/>
      <c r="AI246" s="60"/>
      <c r="AJ246" s="60"/>
      <c r="AK246" s="60"/>
      <c r="AL246" s="61">
        <f>SUM(AH246:AK246)</f>
        <v>0</v>
      </c>
      <c r="AM246" s="68">
        <f t="shared" si="46"/>
        <v>0</v>
      </c>
    </row>
    <row r="247" spans="1:39" hidden="1" x14ac:dyDescent="0.35">
      <c r="A247" s="111" t="s">
        <v>400</v>
      </c>
      <c r="B247" s="54"/>
      <c r="C247" s="63" t="s">
        <v>227</v>
      </c>
      <c r="D247" s="63"/>
      <c r="E247" s="63"/>
      <c r="F247" s="63"/>
      <c r="G247" s="63"/>
      <c r="H247" s="61">
        <f>SUM(D247:G247)</f>
        <v>0</v>
      </c>
      <c r="I247" s="63"/>
      <c r="J247" s="63"/>
      <c r="K247" s="63"/>
      <c r="L247" s="63"/>
      <c r="M247" s="61">
        <f>SUM(I247:L247)</f>
        <v>0</v>
      </c>
      <c r="N247" s="63"/>
      <c r="O247" s="63"/>
      <c r="P247" s="63"/>
      <c r="Q247" s="63"/>
      <c r="R247" s="61">
        <f>SUM(N247:Q247)</f>
        <v>0</v>
      </c>
      <c r="S247" s="63"/>
      <c r="T247" s="63"/>
      <c r="U247" s="63"/>
      <c r="V247" s="63"/>
      <c r="W247" s="61">
        <f>SUM(S247:V247)</f>
        <v>0</v>
      </c>
      <c r="X247" s="63"/>
      <c r="Y247" s="63"/>
      <c r="Z247" s="63"/>
      <c r="AA247" s="63"/>
      <c r="AB247" s="61">
        <f>SUM(X247:AA247)</f>
        <v>0</v>
      </c>
      <c r="AC247" s="63"/>
      <c r="AD247" s="63"/>
      <c r="AE247" s="63"/>
      <c r="AF247" s="63"/>
      <c r="AG247" s="61">
        <f>SUM(AC247:AF247)</f>
        <v>0</v>
      </c>
      <c r="AH247" s="63"/>
      <c r="AI247" s="63"/>
      <c r="AJ247" s="63"/>
      <c r="AK247" s="63"/>
      <c r="AL247" s="61">
        <f>SUM(AH247:AK247)</f>
        <v>0</v>
      </c>
      <c r="AM247" s="68">
        <f t="shared" si="46"/>
        <v>0</v>
      </c>
    </row>
    <row r="248" spans="1:39" hidden="1" x14ac:dyDescent="0.35">
      <c r="A248" s="111"/>
      <c r="B248" s="54"/>
      <c r="C248" s="60" t="s">
        <v>228</v>
      </c>
      <c r="D248" s="60"/>
      <c r="E248" s="60"/>
      <c r="F248" s="60"/>
      <c r="G248" s="60"/>
      <c r="H248" s="61">
        <f>SUM(D248:G248)</f>
        <v>0</v>
      </c>
      <c r="I248" s="60"/>
      <c r="J248" s="60"/>
      <c r="K248" s="60"/>
      <c r="L248" s="60"/>
      <c r="M248" s="61">
        <f>SUM(I248:L248)</f>
        <v>0</v>
      </c>
      <c r="N248" s="60"/>
      <c r="O248" s="60"/>
      <c r="P248" s="60"/>
      <c r="Q248" s="60"/>
      <c r="R248" s="61">
        <f>SUM(N248:Q248)</f>
        <v>0</v>
      </c>
      <c r="S248" s="60"/>
      <c r="T248" s="60"/>
      <c r="U248" s="60"/>
      <c r="V248" s="60"/>
      <c r="W248" s="61">
        <f>SUM(S248:V248)</f>
        <v>0</v>
      </c>
      <c r="X248" s="60"/>
      <c r="Y248" s="60"/>
      <c r="Z248" s="60"/>
      <c r="AA248" s="60"/>
      <c r="AB248" s="61">
        <f>SUM(X248:AA248)</f>
        <v>0</v>
      </c>
      <c r="AC248" s="60"/>
      <c r="AD248" s="60"/>
      <c r="AE248" s="60"/>
      <c r="AF248" s="60"/>
      <c r="AG248" s="61">
        <f>SUM(AC248:AF248)</f>
        <v>0</v>
      </c>
      <c r="AH248" s="60"/>
      <c r="AI248" s="60"/>
      <c r="AJ248" s="60"/>
      <c r="AK248" s="60"/>
      <c r="AL248" s="61">
        <f>SUM(AH248:AK248)</f>
        <v>0</v>
      </c>
      <c r="AM248" s="68">
        <f t="shared" si="46"/>
        <v>0</v>
      </c>
    </row>
    <row r="249" spans="1:39" hidden="1" x14ac:dyDescent="0.35">
      <c r="A249" s="85"/>
      <c r="B249" s="54"/>
      <c r="C249" s="63" t="s">
        <v>235</v>
      </c>
      <c r="D249" s="63"/>
      <c r="E249" s="63"/>
      <c r="F249" s="63"/>
      <c r="G249" s="63"/>
      <c r="H249" s="61">
        <f>SUM(D249:G249)</f>
        <v>0</v>
      </c>
      <c r="I249" s="63"/>
      <c r="J249" s="63"/>
      <c r="K249" s="63"/>
      <c r="L249" s="63"/>
      <c r="M249" s="61">
        <f>SUM(I249:L249)</f>
        <v>0</v>
      </c>
      <c r="N249" s="63"/>
      <c r="O249" s="63"/>
      <c r="P249" s="63"/>
      <c r="Q249" s="63"/>
      <c r="R249" s="61">
        <f>SUM(N249:Q249)</f>
        <v>0</v>
      </c>
      <c r="S249" s="63"/>
      <c r="T249" s="63"/>
      <c r="U249" s="63"/>
      <c r="V249" s="63"/>
      <c r="W249" s="61">
        <f>SUM(S249:V249)</f>
        <v>0</v>
      </c>
      <c r="X249" s="63"/>
      <c r="Y249" s="63"/>
      <c r="Z249" s="63"/>
      <c r="AA249" s="63"/>
      <c r="AB249" s="61">
        <f>SUM(X249:AA249)</f>
        <v>0</v>
      </c>
      <c r="AC249" s="63"/>
      <c r="AD249" s="63"/>
      <c r="AE249" s="63"/>
      <c r="AF249" s="63"/>
      <c r="AG249" s="61">
        <f>SUM(AC249:AF249)</f>
        <v>0</v>
      </c>
      <c r="AH249" s="63"/>
      <c r="AI249" s="63"/>
      <c r="AJ249" s="63"/>
      <c r="AK249" s="63"/>
      <c r="AL249" s="61">
        <f>SUM(AH249:AK249)</f>
        <v>0</v>
      </c>
      <c r="AM249" s="68">
        <f t="shared" si="46"/>
        <v>0</v>
      </c>
    </row>
    <row r="250" spans="1:39" x14ac:dyDescent="0.35">
      <c r="A250" s="66" t="s">
        <v>319</v>
      </c>
      <c r="B250" s="67">
        <v>2</v>
      </c>
      <c r="C250" s="66"/>
      <c r="D250" s="66">
        <f t="shared" ref="D250:AL250" si="58">SUM(D246:D249)</f>
        <v>0</v>
      </c>
      <c r="E250" s="66">
        <f t="shared" si="58"/>
        <v>0</v>
      </c>
      <c r="F250" s="66">
        <f t="shared" si="58"/>
        <v>0</v>
      </c>
      <c r="G250" s="66">
        <f t="shared" si="58"/>
        <v>0</v>
      </c>
      <c r="H250" s="61">
        <f t="shared" si="58"/>
        <v>0</v>
      </c>
      <c r="I250" s="66">
        <f t="shared" si="58"/>
        <v>0</v>
      </c>
      <c r="J250" s="66">
        <f t="shared" si="58"/>
        <v>0</v>
      </c>
      <c r="K250" s="66">
        <f t="shared" si="58"/>
        <v>0</v>
      </c>
      <c r="L250" s="66">
        <f t="shared" si="58"/>
        <v>0</v>
      </c>
      <c r="M250" s="61">
        <f t="shared" si="58"/>
        <v>0</v>
      </c>
      <c r="N250" s="66">
        <f t="shared" si="58"/>
        <v>0</v>
      </c>
      <c r="O250" s="66">
        <f t="shared" si="58"/>
        <v>0</v>
      </c>
      <c r="P250" s="66">
        <f t="shared" si="58"/>
        <v>0</v>
      </c>
      <c r="Q250" s="66">
        <f t="shared" si="58"/>
        <v>0</v>
      </c>
      <c r="R250" s="61">
        <f t="shared" si="58"/>
        <v>0</v>
      </c>
      <c r="S250" s="66">
        <f t="shared" si="58"/>
        <v>0</v>
      </c>
      <c r="T250" s="66">
        <f t="shared" si="58"/>
        <v>0</v>
      </c>
      <c r="U250" s="66">
        <f t="shared" si="58"/>
        <v>0</v>
      </c>
      <c r="V250" s="66">
        <f t="shared" si="58"/>
        <v>0</v>
      </c>
      <c r="W250" s="61">
        <f t="shared" si="58"/>
        <v>0</v>
      </c>
      <c r="X250" s="66">
        <f t="shared" si="58"/>
        <v>0</v>
      </c>
      <c r="Y250" s="66">
        <f t="shared" si="58"/>
        <v>0</v>
      </c>
      <c r="Z250" s="66">
        <f t="shared" si="58"/>
        <v>0</v>
      </c>
      <c r="AA250" s="66">
        <f t="shared" si="58"/>
        <v>0</v>
      </c>
      <c r="AB250" s="61">
        <f t="shared" si="58"/>
        <v>0</v>
      </c>
      <c r="AC250" s="66">
        <f t="shared" si="58"/>
        <v>0</v>
      </c>
      <c r="AD250" s="66">
        <f t="shared" si="58"/>
        <v>0</v>
      </c>
      <c r="AE250" s="66">
        <f t="shared" si="58"/>
        <v>0</v>
      </c>
      <c r="AF250" s="66">
        <f t="shared" si="58"/>
        <v>0</v>
      </c>
      <c r="AG250" s="61">
        <f t="shared" si="58"/>
        <v>0</v>
      </c>
      <c r="AH250" s="66">
        <f t="shared" si="58"/>
        <v>0</v>
      </c>
      <c r="AI250" s="66">
        <f t="shared" si="58"/>
        <v>0</v>
      </c>
      <c r="AJ250" s="66">
        <f t="shared" si="58"/>
        <v>0</v>
      </c>
      <c r="AK250" s="66">
        <f t="shared" si="58"/>
        <v>0</v>
      </c>
      <c r="AL250" s="61">
        <f t="shared" si="58"/>
        <v>0</v>
      </c>
      <c r="AM250" s="68">
        <f t="shared" si="46"/>
        <v>0</v>
      </c>
    </row>
    <row r="251" spans="1:39" hidden="1" x14ac:dyDescent="0.35">
      <c r="A251" s="59" t="s">
        <v>321</v>
      </c>
      <c r="B251" s="54" t="s">
        <v>322</v>
      </c>
      <c r="C251" s="60" t="s">
        <v>225</v>
      </c>
      <c r="D251" s="60"/>
      <c r="E251" s="60"/>
      <c r="F251" s="60"/>
      <c r="G251" s="60"/>
      <c r="H251" s="61">
        <f>SUM(D251:G251)</f>
        <v>0</v>
      </c>
      <c r="I251" s="60"/>
      <c r="J251" s="60"/>
      <c r="K251" s="60"/>
      <c r="L251" s="60"/>
      <c r="M251" s="61">
        <f>SUM(I251:L251)</f>
        <v>0</v>
      </c>
      <c r="N251" s="60"/>
      <c r="O251" s="60"/>
      <c r="P251" s="60"/>
      <c r="Q251" s="60"/>
      <c r="R251" s="61">
        <f>SUM(N251:Q251)</f>
        <v>0</v>
      </c>
      <c r="S251" s="60"/>
      <c r="T251" s="60"/>
      <c r="U251" s="60"/>
      <c r="V251" s="60"/>
      <c r="W251" s="61">
        <f>SUM(S251:V251)</f>
        <v>0</v>
      </c>
      <c r="X251" s="60"/>
      <c r="Y251" s="60"/>
      <c r="Z251" s="60"/>
      <c r="AA251" s="60"/>
      <c r="AB251" s="61">
        <f>SUM(X251:AA251)</f>
        <v>0</v>
      </c>
      <c r="AC251" s="60"/>
      <c r="AD251" s="60"/>
      <c r="AE251" s="60"/>
      <c r="AF251" s="60"/>
      <c r="AG251" s="61">
        <f>SUM(AC251:AF251)</f>
        <v>0</v>
      </c>
      <c r="AH251" s="60"/>
      <c r="AI251" s="60"/>
      <c r="AJ251" s="60"/>
      <c r="AK251" s="60"/>
      <c r="AL251" s="61">
        <f>SUM(AH251:AK251)</f>
        <v>0</v>
      </c>
      <c r="AM251" s="68">
        <f t="shared" si="46"/>
        <v>0</v>
      </c>
    </row>
    <row r="252" spans="1:39" hidden="1" x14ac:dyDescent="0.35">
      <c r="A252" s="111" t="s">
        <v>323</v>
      </c>
      <c r="B252" s="54"/>
      <c r="C252" s="63" t="s">
        <v>227</v>
      </c>
      <c r="D252" s="63"/>
      <c r="E252" s="63"/>
      <c r="F252" s="63"/>
      <c r="G252" s="63"/>
      <c r="H252" s="61">
        <f>SUM(D252:G252)</f>
        <v>0</v>
      </c>
      <c r="I252" s="63"/>
      <c r="J252" s="63"/>
      <c r="K252" s="63"/>
      <c r="L252" s="63"/>
      <c r="M252" s="61">
        <f>SUM(I252:L252)</f>
        <v>0</v>
      </c>
      <c r="N252" s="63"/>
      <c r="O252" s="63"/>
      <c r="P252" s="63"/>
      <c r="Q252" s="63"/>
      <c r="R252" s="61">
        <f>SUM(N252:Q252)</f>
        <v>0</v>
      </c>
      <c r="S252" s="63"/>
      <c r="T252" s="63"/>
      <c r="U252" s="63"/>
      <c r="V252" s="63"/>
      <c r="W252" s="61">
        <f>SUM(S252:V252)</f>
        <v>0</v>
      </c>
      <c r="X252" s="63"/>
      <c r="Y252" s="63"/>
      <c r="Z252" s="63"/>
      <c r="AA252" s="63"/>
      <c r="AB252" s="61">
        <f>SUM(X252:AA252)</f>
        <v>0</v>
      </c>
      <c r="AC252" s="63"/>
      <c r="AD252" s="63"/>
      <c r="AE252" s="63"/>
      <c r="AF252" s="63"/>
      <c r="AG252" s="61">
        <f>SUM(AC252:AF252)</f>
        <v>0</v>
      </c>
      <c r="AH252" s="63">
        <v>3</v>
      </c>
      <c r="AI252" s="63"/>
      <c r="AJ252" s="63"/>
      <c r="AK252" s="63"/>
      <c r="AL252" s="61">
        <f>SUM(AH252:AK252)</f>
        <v>3</v>
      </c>
      <c r="AM252" s="68">
        <f t="shared" si="46"/>
        <v>3</v>
      </c>
    </row>
    <row r="253" spans="1:39" hidden="1" x14ac:dyDescent="0.35">
      <c r="A253" s="111"/>
      <c r="B253" s="54"/>
      <c r="C253" s="60" t="s">
        <v>228</v>
      </c>
      <c r="D253" s="60"/>
      <c r="E253" s="60"/>
      <c r="F253" s="60"/>
      <c r="G253" s="60"/>
      <c r="H253" s="61">
        <f>SUM(D253:G253)</f>
        <v>0</v>
      </c>
      <c r="I253" s="60"/>
      <c r="J253" s="60"/>
      <c r="K253" s="60"/>
      <c r="L253" s="60"/>
      <c r="M253" s="61">
        <f>SUM(I253:L253)</f>
        <v>0</v>
      </c>
      <c r="N253" s="60"/>
      <c r="O253" s="60"/>
      <c r="P253" s="60"/>
      <c r="Q253" s="60"/>
      <c r="R253" s="61">
        <f>SUM(N253:Q253)</f>
        <v>0</v>
      </c>
      <c r="S253" s="60"/>
      <c r="T253" s="60"/>
      <c r="U253" s="60"/>
      <c r="V253" s="60"/>
      <c r="W253" s="61">
        <f>SUM(S253:V253)</f>
        <v>0</v>
      </c>
      <c r="X253" s="60"/>
      <c r="Y253" s="60"/>
      <c r="Z253" s="60"/>
      <c r="AA253" s="60"/>
      <c r="AB253" s="61">
        <f>SUM(X253:AA253)</f>
        <v>0</v>
      </c>
      <c r="AC253" s="60"/>
      <c r="AD253" s="60"/>
      <c r="AE253" s="60"/>
      <c r="AF253" s="60"/>
      <c r="AG253" s="61">
        <f>SUM(AC253:AF253)</f>
        <v>0</v>
      </c>
      <c r="AH253" s="60">
        <v>3</v>
      </c>
      <c r="AI253" s="60"/>
      <c r="AJ253" s="60"/>
      <c r="AK253" s="60"/>
      <c r="AL253" s="61">
        <f>SUM(AH253:AK253)</f>
        <v>3</v>
      </c>
      <c r="AM253" s="68">
        <f t="shared" si="46"/>
        <v>3</v>
      </c>
    </row>
    <row r="254" spans="1:39" hidden="1" x14ac:dyDescent="0.35">
      <c r="A254" s="111"/>
      <c r="B254" s="54"/>
      <c r="C254" s="63" t="s">
        <v>235</v>
      </c>
      <c r="D254" s="63"/>
      <c r="E254" s="63"/>
      <c r="F254" s="63"/>
      <c r="G254" s="63"/>
      <c r="H254" s="61">
        <f>SUM(D254:G254)</f>
        <v>0</v>
      </c>
      <c r="I254" s="63"/>
      <c r="J254" s="63"/>
      <c r="K254" s="63"/>
      <c r="L254" s="63"/>
      <c r="M254" s="61">
        <f>SUM(I254:L254)</f>
        <v>0</v>
      </c>
      <c r="N254" s="63"/>
      <c r="O254" s="63"/>
      <c r="P254" s="63"/>
      <c r="Q254" s="63"/>
      <c r="R254" s="61">
        <f>SUM(N254:Q254)</f>
        <v>0</v>
      </c>
      <c r="S254" s="63"/>
      <c r="T254" s="63"/>
      <c r="U254" s="63"/>
      <c r="V254" s="63"/>
      <c r="W254" s="61">
        <f>SUM(S254:V254)</f>
        <v>0</v>
      </c>
      <c r="X254" s="63"/>
      <c r="Y254" s="63"/>
      <c r="Z254" s="63"/>
      <c r="AA254" s="63"/>
      <c r="AB254" s="61">
        <f>SUM(X254:AA254)</f>
        <v>0</v>
      </c>
      <c r="AC254" s="63"/>
      <c r="AD254" s="63"/>
      <c r="AE254" s="63"/>
      <c r="AF254" s="63"/>
      <c r="AG254" s="61">
        <f>SUM(AC254:AF254)</f>
        <v>0</v>
      </c>
      <c r="AH254" s="63">
        <v>2</v>
      </c>
      <c r="AI254" s="63"/>
      <c r="AJ254" s="63"/>
      <c r="AK254" s="63"/>
      <c r="AL254" s="61">
        <f>SUM(AH254:AK254)</f>
        <v>2</v>
      </c>
      <c r="AM254" s="68">
        <f t="shared" si="46"/>
        <v>2</v>
      </c>
    </row>
    <row r="255" spans="1:39" x14ac:dyDescent="0.35">
      <c r="A255" s="66" t="s">
        <v>321</v>
      </c>
      <c r="B255" s="67" t="s">
        <v>322</v>
      </c>
      <c r="C255" s="66"/>
      <c r="D255" s="66">
        <f t="shared" ref="D255:AL255" si="59">SUM(D251:D254)</f>
        <v>0</v>
      </c>
      <c r="E255" s="66">
        <f t="shared" si="59"/>
        <v>0</v>
      </c>
      <c r="F255" s="66">
        <f t="shared" si="59"/>
        <v>0</v>
      </c>
      <c r="G255" s="66">
        <f t="shared" si="59"/>
        <v>0</v>
      </c>
      <c r="H255" s="61">
        <f t="shared" si="59"/>
        <v>0</v>
      </c>
      <c r="I255" s="66">
        <f t="shared" si="59"/>
        <v>0</v>
      </c>
      <c r="J255" s="66">
        <f t="shared" si="59"/>
        <v>0</v>
      </c>
      <c r="K255" s="66">
        <f t="shared" si="59"/>
        <v>0</v>
      </c>
      <c r="L255" s="66">
        <f t="shared" si="59"/>
        <v>0</v>
      </c>
      <c r="M255" s="61">
        <f t="shared" si="59"/>
        <v>0</v>
      </c>
      <c r="N255" s="66">
        <f t="shared" si="59"/>
        <v>0</v>
      </c>
      <c r="O255" s="66">
        <f t="shared" si="59"/>
        <v>0</v>
      </c>
      <c r="P255" s="66">
        <f t="shared" si="59"/>
        <v>0</v>
      </c>
      <c r="Q255" s="66">
        <f t="shared" si="59"/>
        <v>0</v>
      </c>
      <c r="R255" s="61">
        <f t="shared" si="59"/>
        <v>0</v>
      </c>
      <c r="S255" s="66">
        <f t="shared" si="59"/>
        <v>0</v>
      </c>
      <c r="T255" s="66">
        <f t="shared" si="59"/>
        <v>0</v>
      </c>
      <c r="U255" s="66">
        <f t="shared" si="59"/>
        <v>0</v>
      </c>
      <c r="V255" s="66">
        <f t="shared" si="59"/>
        <v>0</v>
      </c>
      <c r="W255" s="61">
        <f t="shared" si="59"/>
        <v>0</v>
      </c>
      <c r="X255" s="66">
        <f t="shared" si="59"/>
        <v>0</v>
      </c>
      <c r="Y255" s="66">
        <f t="shared" si="59"/>
        <v>0</v>
      </c>
      <c r="Z255" s="66">
        <f t="shared" si="59"/>
        <v>0</v>
      </c>
      <c r="AA255" s="66">
        <f t="shared" si="59"/>
        <v>0</v>
      </c>
      <c r="AB255" s="61">
        <f t="shared" si="59"/>
        <v>0</v>
      </c>
      <c r="AC255" s="66">
        <f t="shared" si="59"/>
        <v>0</v>
      </c>
      <c r="AD255" s="66">
        <f t="shared" si="59"/>
        <v>0</v>
      </c>
      <c r="AE255" s="66">
        <f t="shared" si="59"/>
        <v>0</v>
      </c>
      <c r="AF255" s="66">
        <f t="shared" si="59"/>
        <v>0</v>
      </c>
      <c r="AG255" s="61">
        <f t="shared" si="59"/>
        <v>0</v>
      </c>
      <c r="AH255" s="66">
        <f t="shared" si="59"/>
        <v>8</v>
      </c>
      <c r="AI255" s="66">
        <f t="shared" si="59"/>
        <v>0</v>
      </c>
      <c r="AJ255" s="66">
        <f t="shared" si="59"/>
        <v>0</v>
      </c>
      <c r="AK255" s="66">
        <f t="shared" si="59"/>
        <v>0</v>
      </c>
      <c r="AL255" s="61">
        <f t="shared" si="59"/>
        <v>8</v>
      </c>
      <c r="AM255" s="68">
        <f t="shared" si="46"/>
        <v>8</v>
      </c>
    </row>
    <row r="256" spans="1:39" hidden="1" x14ac:dyDescent="0.35">
      <c r="A256" s="59" t="s">
        <v>324</v>
      </c>
      <c r="B256" s="54">
        <v>26</v>
      </c>
      <c r="C256" s="60" t="s">
        <v>225</v>
      </c>
      <c r="D256" s="60">
        <v>4</v>
      </c>
      <c r="E256" s="60"/>
      <c r="F256" s="60"/>
      <c r="G256" s="60"/>
      <c r="H256" s="61">
        <f>SUM(D256:G256)</f>
        <v>4</v>
      </c>
      <c r="I256" s="60"/>
      <c r="J256" s="60"/>
      <c r="K256" s="60"/>
      <c r="L256" s="60"/>
      <c r="M256" s="61">
        <f>SUM(I256:L256)</f>
        <v>0</v>
      </c>
      <c r="N256" s="60">
        <v>2</v>
      </c>
      <c r="O256" s="60"/>
      <c r="P256" s="60"/>
      <c r="Q256" s="60"/>
      <c r="R256" s="61">
        <f>SUM(N256:Q256)</f>
        <v>2</v>
      </c>
      <c r="S256" s="60">
        <v>1</v>
      </c>
      <c r="T256" s="60"/>
      <c r="U256" s="60"/>
      <c r="V256" s="60"/>
      <c r="W256" s="61">
        <f>SUM(S256:V256)</f>
        <v>1</v>
      </c>
      <c r="X256" s="60"/>
      <c r="Y256" s="60"/>
      <c r="Z256" s="60"/>
      <c r="AA256" s="60"/>
      <c r="AB256" s="61">
        <f>SUM(X256:AA256)</f>
        <v>0</v>
      </c>
      <c r="AC256" s="60">
        <v>1</v>
      </c>
      <c r="AD256" s="60"/>
      <c r="AE256" s="60"/>
      <c r="AF256" s="60"/>
      <c r="AG256" s="61">
        <f>SUM(AC256:AF256)</f>
        <v>1</v>
      </c>
      <c r="AH256" s="60"/>
      <c r="AI256" s="60"/>
      <c r="AJ256" s="60"/>
      <c r="AK256" s="60"/>
      <c r="AL256" s="61">
        <f>SUM(AH256:AK256)</f>
        <v>0</v>
      </c>
      <c r="AM256" s="68">
        <f t="shared" si="46"/>
        <v>8</v>
      </c>
    </row>
    <row r="257" spans="1:39" hidden="1" x14ac:dyDescent="0.35">
      <c r="A257" s="111" t="s">
        <v>267</v>
      </c>
      <c r="B257" s="54"/>
      <c r="C257" s="63" t="s">
        <v>227</v>
      </c>
      <c r="D257" s="63">
        <v>5</v>
      </c>
      <c r="E257" s="63"/>
      <c r="F257" s="63"/>
      <c r="G257" s="63"/>
      <c r="H257" s="61">
        <f>SUM(D257:G257)</f>
        <v>5</v>
      </c>
      <c r="I257" s="63"/>
      <c r="J257" s="63"/>
      <c r="K257" s="63"/>
      <c r="L257" s="63"/>
      <c r="M257" s="61">
        <f>SUM(I257:L257)</f>
        <v>0</v>
      </c>
      <c r="N257" s="63">
        <v>1</v>
      </c>
      <c r="O257" s="63"/>
      <c r="P257" s="63"/>
      <c r="Q257" s="63"/>
      <c r="R257" s="61">
        <f>SUM(N257:Q257)</f>
        <v>1</v>
      </c>
      <c r="S257" s="63">
        <v>1</v>
      </c>
      <c r="T257" s="63"/>
      <c r="U257" s="63"/>
      <c r="V257" s="63"/>
      <c r="W257" s="61">
        <f>SUM(S257:V257)</f>
        <v>1</v>
      </c>
      <c r="X257" s="63"/>
      <c r="Y257" s="63"/>
      <c r="Z257" s="63"/>
      <c r="AA257" s="63"/>
      <c r="AB257" s="61">
        <f>SUM(X257:AA257)</f>
        <v>0</v>
      </c>
      <c r="AC257" s="63">
        <v>2</v>
      </c>
      <c r="AD257" s="63"/>
      <c r="AE257" s="63"/>
      <c r="AF257" s="63"/>
      <c r="AG257" s="61">
        <f>SUM(AC257:AF257)</f>
        <v>2</v>
      </c>
      <c r="AH257" s="63"/>
      <c r="AI257" s="63"/>
      <c r="AJ257" s="63"/>
      <c r="AK257" s="63"/>
      <c r="AL257" s="61">
        <f>SUM(AH257:AK257)</f>
        <v>0</v>
      </c>
      <c r="AM257" s="68">
        <f t="shared" si="46"/>
        <v>9</v>
      </c>
    </row>
    <row r="258" spans="1:39" hidden="1" x14ac:dyDescent="0.35">
      <c r="A258" s="111"/>
      <c r="B258" s="54"/>
      <c r="C258" s="60" t="s">
        <v>228</v>
      </c>
      <c r="D258" s="60">
        <v>3</v>
      </c>
      <c r="E258" s="60"/>
      <c r="F258" s="60"/>
      <c r="G258" s="60"/>
      <c r="H258" s="61">
        <f>SUM(D258:G258)</f>
        <v>3</v>
      </c>
      <c r="I258" s="60"/>
      <c r="J258" s="60"/>
      <c r="K258" s="60"/>
      <c r="L258" s="60"/>
      <c r="M258" s="61">
        <f>SUM(I258:L258)</f>
        <v>0</v>
      </c>
      <c r="N258" s="60"/>
      <c r="O258" s="60"/>
      <c r="P258" s="60"/>
      <c r="Q258" s="60"/>
      <c r="R258" s="61">
        <f>SUM(N258:Q258)</f>
        <v>0</v>
      </c>
      <c r="S258" s="60">
        <v>1</v>
      </c>
      <c r="T258" s="60"/>
      <c r="U258" s="60"/>
      <c r="V258" s="60"/>
      <c r="W258" s="61">
        <f>SUM(S258:V258)</f>
        <v>1</v>
      </c>
      <c r="X258" s="60"/>
      <c r="Y258" s="60"/>
      <c r="Z258" s="60"/>
      <c r="AA258" s="60"/>
      <c r="AB258" s="61">
        <f>SUM(X258:AA258)</f>
        <v>0</v>
      </c>
      <c r="AC258" s="60"/>
      <c r="AD258" s="60"/>
      <c r="AE258" s="60"/>
      <c r="AF258" s="60"/>
      <c r="AG258" s="61">
        <f>SUM(AC258:AF258)</f>
        <v>0</v>
      </c>
      <c r="AH258" s="60"/>
      <c r="AI258" s="60"/>
      <c r="AJ258" s="60"/>
      <c r="AK258" s="60"/>
      <c r="AL258" s="61">
        <f>SUM(AH258:AK258)</f>
        <v>0</v>
      </c>
      <c r="AM258" s="68">
        <f t="shared" si="46"/>
        <v>4</v>
      </c>
    </row>
    <row r="259" spans="1:39" hidden="1" x14ac:dyDescent="0.35">
      <c r="A259" s="111"/>
      <c r="B259" s="54"/>
      <c r="C259" s="63" t="s">
        <v>235</v>
      </c>
      <c r="D259" s="63">
        <v>6</v>
      </c>
      <c r="E259" s="63"/>
      <c r="F259" s="63"/>
      <c r="G259" s="63"/>
      <c r="H259" s="61">
        <f>SUM(D259:G259)</f>
        <v>6</v>
      </c>
      <c r="I259" s="63"/>
      <c r="J259" s="63"/>
      <c r="K259" s="63"/>
      <c r="L259" s="63"/>
      <c r="M259" s="61">
        <f>SUM(I259:L259)</f>
        <v>0</v>
      </c>
      <c r="N259" s="63"/>
      <c r="O259" s="63"/>
      <c r="P259" s="63"/>
      <c r="Q259" s="63"/>
      <c r="R259" s="61">
        <f>SUM(N259:Q259)</f>
        <v>0</v>
      </c>
      <c r="S259" s="63">
        <v>1</v>
      </c>
      <c r="T259" s="63"/>
      <c r="U259" s="63"/>
      <c r="V259" s="63"/>
      <c r="W259" s="61">
        <f>SUM(S259:V259)</f>
        <v>1</v>
      </c>
      <c r="X259" s="63"/>
      <c r="Y259" s="63"/>
      <c r="Z259" s="63"/>
      <c r="AA259" s="63"/>
      <c r="AB259" s="61">
        <f>SUM(X259:AA259)</f>
        <v>0</v>
      </c>
      <c r="AC259" s="63">
        <v>1</v>
      </c>
      <c r="AD259" s="63"/>
      <c r="AE259" s="63"/>
      <c r="AF259" s="63"/>
      <c r="AG259" s="61">
        <f>SUM(AC259:AF259)</f>
        <v>1</v>
      </c>
      <c r="AH259" s="63"/>
      <c r="AI259" s="63"/>
      <c r="AJ259" s="63"/>
      <c r="AK259" s="63"/>
      <c r="AL259" s="61">
        <f>SUM(AH259:AK259)</f>
        <v>0</v>
      </c>
      <c r="AM259" s="68">
        <f t="shared" si="46"/>
        <v>8</v>
      </c>
    </row>
    <row r="260" spans="1:39" hidden="1" x14ac:dyDescent="0.35">
      <c r="A260" s="66" t="s">
        <v>397</v>
      </c>
      <c r="B260" s="67"/>
      <c r="C260" s="66"/>
      <c r="D260" s="66">
        <f t="shared" ref="D260:AD260" si="60">SUM(D256:D259)</f>
        <v>18</v>
      </c>
      <c r="E260" s="66">
        <f t="shared" si="60"/>
        <v>0</v>
      </c>
      <c r="F260" s="66">
        <f t="shared" si="60"/>
        <v>0</v>
      </c>
      <c r="G260" s="66">
        <f t="shared" si="60"/>
        <v>0</v>
      </c>
      <c r="H260" s="61">
        <f t="shared" si="60"/>
        <v>18</v>
      </c>
      <c r="I260" s="66">
        <f t="shared" si="60"/>
        <v>0</v>
      </c>
      <c r="J260" s="66">
        <f t="shared" si="60"/>
        <v>0</v>
      </c>
      <c r="K260" s="66">
        <f t="shared" si="60"/>
        <v>0</v>
      </c>
      <c r="L260" s="66">
        <f t="shared" si="60"/>
        <v>0</v>
      </c>
      <c r="M260" s="61">
        <f t="shared" si="60"/>
        <v>0</v>
      </c>
      <c r="N260" s="66">
        <f t="shared" si="60"/>
        <v>3</v>
      </c>
      <c r="O260" s="66">
        <f t="shared" si="60"/>
        <v>0</v>
      </c>
      <c r="P260" s="66">
        <f t="shared" si="60"/>
        <v>0</v>
      </c>
      <c r="Q260" s="66">
        <f t="shared" si="60"/>
        <v>0</v>
      </c>
      <c r="R260" s="61">
        <f t="shared" si="60"/>
        <v>3</v>
      </c>
      <c r="S260" s="66">
        <f t="shared" si="60"/>
        <v>4</v>
      </c>
      <c r="T260" s="66">
        <f t="shared" si="60"/>
        <v>0</v>
      </c>
      <c r="U260" s="66">
        <f t="shared" si="60"/>
        <v>0</v>
      </c>
      <c r="V260" s="66">
        <f t="shared" si="60"/>
        <v>0</v>
      </c>
      <c r="W260" s="61">
        <f t="shared" si="60"/>
        <v>4</v>
      </c>
      <c r="X260" s="66">
        <f t="shared" si="60"/>
        <v>0</v>
      </c>
      <c r="Y260" s="66">
        <f t="shared" si="60"/>
        <v>0</v>
      </c>
      <c r="Z260" s="66">
        <f t="shared" si="60"/>
        <v>0</v>
      </c>
      <c r="AA260" s="66">
        <f t="shared" si="60"/>
        <v>0</v>
      </c>
      <c r="AB260" s="61">
        <f t="shared" si="60"/>
        <v>0</v>
      </c>
      <c r="AC260" s="66">
        <f t="shared" si="60"/>
        <v>4</v>
      </c>
      <c r="AD260" s="66">
        <f t="shared" si="60"/>
        <v>0</v>
      </c>
      <c r="AE260" s="66"/>
      <c r="AF260" s="66">
        <f t="shared" ref="AF260:AL260" si="61">SUM(AF256:AF259)</f>
        <v>0</v>
      </c>
      <c r="AG260" s="61">
        <f t="shared" si="61"/>
        <v>4</v>
      </c>
      <c r="AH260" s="66">
        <f t="shared" si="61"/>
        <v>0</v>
      </c>
      <c r="AI260" s="66">
        <f t="shared" si="61"/>
        <v>0</v>
      </c>
      <c r="AJ260" s="66">
        <f t="shared" si="61"/>
        <v>0</v>
      </c>
      <c r="AK260" s="66">
        <f t="shared" si="61"/>
        <v>0</v>
      </c>
      <c r="AL260" s="61">
        <f t="shared" si="61"/>
        <v>0</v>
      </c>
      <c r="AM260" s="68">
        <f t="shared" si="46"/>
        <v>29</v>
      </c>
    </row>
    <row r="261" spans="1:39" hidden="1" x14ac:dyDescent="0.35">
      <c r="A261" s="111" t="s">
        <v>325</v>
      </c>
      <c r="B261" s="54"/>
      <c r="C261" s="60" t="s">
        <v>225</v>
      </c>
      <c r="D261" s="60">
        <v>89</v>
      </c>
      <c r="E261" s="60">
        <v>5</v>
      </c>
      <c r="F261" s="60">
        <v>8</v>
      </c>
      <c r="G261" s="60"/>
      <c r="H261" s="61">
        <f>SUM(D261:G261)</f>
        <v>102</v>
      </c>
      <c r="I261" s="60">
        <v>2</v>
      </c>
      <c r="J261" s="60">
        <v>0</v>
      </c>
      <c r="K261" s="60">
        <v>1</v>
      </c>
      <c r="L261" s="60">
        <v>0</v>
      </c>
      <c r="M261" s="61">
        <f>SUM(I261:L261)</f>
        <v>3</v>
      </c>
      <c r="N261" s="60">
        <v>22</v>
      </c>
      <c r="O261" s="60">
        <v>2</v>
      </c>
      <c r="P261" s="60">
        <v>2</v>
      </c>
      <c r="Q261" s="60"/>
      <c r="R261" s="61">
        <f>SUM(N261:Q261)</f>
        <v>26</v>
      </c>
      <c r="S261" s="60"/>
      <c r="T261" s="60"/>
      <c r="U261" s="60"/>
      <c r="V261" s="60"/>
      <c r="W261" s="61">
        <f>SUM(S261:V261)</f>
        <v>0</v>
      </c>
      <c r="X261" s="60"/>
      <c r="Y261" s="60"/>
      <c r="Z261" s="60"/>
      <c r="AA261" s="60"/>
      <c r="AB261" s="61">
        <f>SUM(X261:AA261)</f>
        <v>0</v>
      </c>
      <c r="AC261" s="60">
        <v>1</v>
      </c>
      <c r="AD261" s="60"/>
      <c r="AE261" s="60"/>
      <c r="AF261" s="60"/>
      <c r="AG261" s="61">
        <f>SUM(AC261:AF261)</f>
        <v>1</v>
      </c>
      <c r="AH261" s="60"/>
      <c r="AI261" s="60">
        <v>1</v>
      </c>
      <c r="AJ261" s="60"/>
      <c r="AK261" s="60"/>
      <c r="AL261" s="61">
        <f>SUM(AH261:AK261)</f>
        <v>1</v>
      </c>
      <c r="AM261" s="68">
        <f t="shared" ref="AM261:AM324" si="62">SUM(H261,M261,R261,W261,AB261,AG261,AL261)</f>
        <v>133</v>
      </c>
    </row>
    <row r="262" spans="1:39" hidden="1" x14ac:dyDescent="0.35">
      <c r="A262" s="111"/>
      <c r="B262" s="54"/>
      <c r="C262" s="63" t="s">
        <v>227</v>
      </c>
      <c r="D262" s="63">
        <v>76</v>
      </c>
      <c r="E262" s="63">
        <v>3</v>
      </c>
      <c r="F262" s="63">
        <v>4</v>
      </c>
      <c r="G262" s="63"/>
      <c r="H262" s="61">
        <f>SUM(D262:G262)</f>
        <v>83</v>
      </c>
      <c r="I262" s="63">
        <v>2</v>
      </c>
      <c r="J262" s="63"/>
      <c r="K262" s="63"/>
      <c r="L262" s="63"/>
      <c r="M262" s="61">
        <f>SUM(I262:L262)</f>
        <v>2</v>
      </c>
      <c r="N262" s="63">
        <v>24</v>
      </c>
      <c r="O262" s="63">
        <v>3</v>
      </c>
      <c r="P262" s="63">
        <v>6</v>
      </c>
      <c r="Q262" s="63"/>
      <c r="R262" s="61">
        <f>SUM(N262:Q262)</f>
        <v>33</v>
      </c>
      <c r="S262" s="63"/>
      <c r="T262" s="63"/>
      <c r="U262" s="63"/>
      <c r="V262" s="63"/>
      <c r="W262" s="61">
        <f>SUM(S262:V262)</f>
        <v>0</v>
      </c>
      <c r="X262" s="63"/>
      <c r="Y262" s="63"/>
      <c r="Z262" s="63"/>
      <c r="AA262" s="63"/>
      <c r="AB262" s="61">
        <f>SUM(X262:AA262)</f>
        <v>0</v>
      </c>
      <c r="AC262" s="63">
        <v>1</v>
      </c>
      <c r="AD262" s="63"/>
      <c r="AE262" s="63"/>
      <c r="AF262" s="63"/>
      <c r="AG262" s="61">
        <f>SUM(AC262:AF262)</f>
        <v>1</v>
      </c>
      <c r="AH262" s="63"/>
      <c r="AI262" s="63"/>
      <c r="AJ262" s="63"/>
      <c r="AK262" s="63"/>
      <c r="AL262" s="61">
        <f>SUM(AH262:AK262)</f>
        <v>0</v>
      </c>
      <c r="AM262" s="68">
        <f t="shared" si="62"/>
        <v>119</v>
      </c>
    </row>
    <row r="263" spans="1:39" hidden="1" x14ac:dyDescent="0.35">
      <c r="A263" s="111"/>
      <c r="B263" s="54"/>
      <c r="C263" s="60" t="s">
        <v>228</v>
      </c>
      <c r="D263" s="60">
        <v>67</v>
      </c>
      <c r="E263" s="60">
        <v>8</v>
      </c>
      <c r="F263" s="60">
        <v>6</v>
      </c>
      <c r="G263" s="60">
        <v>1</v>
      </c>
      <c r="H263" s="61">
        <f>SUM(D263:G263)</f>
        <v>82</v>
      </c>
      <c r="I263" s="60">
        <v>4</v>
      </c>
      <c r="J263" s="60"/>
      <c r="K263" s="60">
        <v>2</v>
      </c>
      <c r="L263" s="60"/>
      <c r="M263" s="61">
        <f>SUM(I263:L263)</f>
        <v>6</v>
      </c>
      <c r="N263" s="60">
        <v>14</v>
      </c>
      <c r="O263" s="60">
        <v>2</v>
      </c>
      <c r="P263" s="60">
        <v>2</v>
      </c>
      <c r="Q263" s="60">
        <v>1</v>
      </c>
      <c r="R263" s="61">
        <f>SUM(N263:Q263)</f>
        <v>19</v>
      </c>
      <c r="S263" s="60"/>
      <c r="T263" s="60"/>
      <c r="U263" s="60"/>
      <c r="V263" s="60"/>
      <c r="W263" s="61">
        <f>SUM(S263:V263)</f>
        <v>0</v>
      </c>
      <c r="X263" s="60"/>
      <c r="Y263" s="60"/>
      <c r="Z263" s="60"/>
      <c r="AA263" s="60"/>
      <c r="AB263" s="61">
        <f>SUM(X263:AA263)</f>
        <v>0</v>
      </c>
      <c r="AC263" s="60">
        <v>2</v>
      </c>
      <c r="AD263" s="60"/>
      <c r="AE263" s="60">
        <v>1</v>
      </c>
      <c r="AF263" s="60"/>
      <c r="AG263" s="61">
        <f>SUM(AC263:AF263)</f>
        <v>3</v>
      </c>
      <c r="AH263" s="60"/>
      <c r="AI263" s="60"/>
      <c r="AJ263" s="60"/>
      <c r="AK263" s="60"/>
      <c r="AL263" s="61">
        <f>SUM(AH263:AK263)</f>
        <v>0</v>
      </c>
      <c r="AM263" s="68">
        <f t="shared" si="62"/>
        <v>110</v>
      </c>
    </row>
    <row r="264" spans="1:39" hidden="1" x14ac:dyDescent="0.35">
      <c r="A264" s="111"/>
      <c r="B264" s="54"/>
      <c r="C264" s="63" t="s">
        <v>235</v>
      </c>
      <c r="D264" s="63">
        <v>81</v>
      </c>
      <c r="E264" s="63">
        <v>7</v>
      </c>
      <c r="F264" s="63">
        <v>9</v>
      </c>
      <c r="G264" s="63"/>
      <c r="H264" s="61">
        <f>SUM(D264:G264)</f>
        <v>97</v>
      </c>
      <c r="I264" s="63">
        <v>2</v>
      </c>
      <c r="J264" s="63"/>
      <c r="K264" s="63">
        <v>1</v>
      </c>
      <c r="L264" s="63"/>
      <c r="M264" s="61">
        <f>SUM(I264:L264)</f>
        <v>3</v>
      </c>
      <c r="N264" s="63">
        <v>26</v>
      </c>
      <c r="O264" s="63">
        <v>2</v>
      </c>
      <c r="P264" s="63">
        <v>3</v>
      </c>
      <c r="Q264" s="63">
        <v>1</v>
      </c>
      <c r="R264" s="61">
        <f>SUM(N264:Q264)</f>
        <v>32</v>
      </c>
      <c r="S264" s="63"/>
      <c r="T264" s="63"/>
      <c r="U264" s="63"/>
      <c r="V264" s="63"/>
      <c r="W264" s="61">
        <f>SUM(S264:V264)</f>
        <v>0</v>
      </c>
      <c r="X264" s="63"/>
      <c r="Y264" s="63"/>
      <c r="Z264" s="63"/>
      <c r="AA264" s="63"/>
      <c r="AB264" s="61">
        <f>SUM(X264:AA264)</f>
        <v>0</v>
      </c>
      <c r="AC264" s="63">
        <v>2</v>
      </c>
      <c r="AD264" s="63"/>
      <c r="AE264" s="63"/>
      <c r="AF264" s="63"/>
      <c r="AG264" s="61">
        <f>SUM(AC264:AF264)</f>
        <v>2</v>
      </c>
      <c r="AH264" s="63"/>
      <c r="AI264" s="63"/>
      <c r="AJ264" s="63"/>
      <c r="AK264" s="63"/>
      <c r="AL264" s="61">
        <f>SUM(AH264:AK264)</f>
        <v>0</v>
      </c>
      <c r="AM264" s="68">
        <f t="shared" si="62"/>
        <v>134</v>
      </c>
    </row>
    <row r="265" spans="1:39" hidden="1" x14ac:dyDescent="0.35">
      <c r="A265" s="76" t="s">
        <v>326</v>
      </c>
      <c r="B265" s="67"/>
      <c r="C265" s="66"/>
      <c r="D265" s="66">
        <f t="shared" ref="D265:AL265" si="63">SUM(D261:D264)</f>
        <v>313</v>
      </c>
      <c r="E265" s="66">
        <f t="shared" si="63"/>
        <v>23</v>
      </c>
      <c r="F265" s="66">
        <f t="shared" si="63"/>
        <v>27</v>
      </c>
      <c r="G265" s="66">
        <f t="shared" si="63"/>
        <v>1</v>
      </c>
      <c r="H265" s="61">
        <f t="shared" si="63"/>
        <v>364</v>
      </c>
      <c r="I265" s="66">
        <f t="shared" si="63"/>
        <v>10</v>
      </c>
      <c r="J265" s="66">
        <f t="shared" si="63"/>
        <v>0</v>
      </c>
      <c r="K265" s="66">
        <f t="shared" si="63"/>
        <v>4</v>
      </c>
      <c r="L265" s="66">
        <f t="shared" si="63"/>
        <v>0</v>
      </c>
      <c r="M265" s="61">
        <f t="shared" si="63"/>
        <v>14</v>
      </c>
      <c r="N265" s="66">
        <f t="shared" si="63"/>
        <v>86</v>
      </c>
      <c r="O265" s="66">
        <f t="shared" si="63"/>
        <v>9</v>
      </c>
      <c r="P265" s="66">
        <f t="shared" si="63"/>
        <v>13</v>
      </c>
      <c r="Q265" s="66">
        <f t="shared" si="63"/>
        <v>2</v>
      </c>
      <c r="R265" s="61">
        <f t="shared" si="63"/>
        <v>110</v>
      </c>
      <c r="S265" s="66">
        <f t="shared" si="63"/>
        <v>0</v>
      </c>
      <c r="T265" s="66">
        <f t="shared" si="63"/>
        <v>0</v>
      </c>
      <c r="U265" s="66">
        <f t="shared" si="63"/>
        <v>0</v>
      </c>
      <c r="V265" s="66">
        <f t="shared" si="63"/>
        <v>0</v>
      </c>
      <c r="W265" s="61">
        <f t="shared" si="63"/>
        <v>0</v>
      </c>
      <c r="X265" s="66">
        <f t="shared" si="63"/>
        <v>0</v>
      </c>
      <c r="Y265" s="66">
        <f t="shared" si="63"/>
        <v>0</v>
      </c>
      <c r="Z265" s="66">
        <f t="shared" si="63"/>
        <v>0</v>
      </c>
      <c r="AA265" s="66">
        <f t="shared" si="63"/>
        <v>0</v>
      </c>
      <c r="AB265" s="61">
        <f t="shared" si="63"/>
        <v>0</v>
      </c>
      <c r="AC265" s="66">
        <f t="shared" si="63"/>
        <v>6</v>
      </c>
      <c r="AD265" s="66">
        <f t="shared" si="63"/>
        <v>0</v>
      </c>
      <c r="AE265" s="66">
        <f t="shared" si="63"/>
        <v>1</v>
      </c>
      <c r="AF265" s="66">
        <f t="shared" si="63"/>
        <v>0</v>
      </c>
      <c r="AG265" s="61">
        <f t="shared" si="63"/>
        <v>7</v>
      </c>
      <c r="AH265" s="66">
        <f t="shared" si="63"/>
        <v>0</v>
      </c>
      <c r="AI265" s="66">
        <f t="shared" si="63"/>
        <v>1</v>
      </c>
      <c r="AJ265" s="66">
        <f t="shared" si="63"/>
        <v>0</v>
      </c>
      <c r="AK265" s="66">
        <f t="shared" si="63"/>
        <v>0</v>
      </c>
      <c r="AL265" s="61">
        <f t="shared" si="63"/>
        <v>1</v>
      </c>
      <c r="AM265" s="68">
        <f t="shared" si="62"/>
        <v>496</v>
      </c>
    </row>
    <row r="266" spans="1:39" x14ac:dyDescent="0.35">
      <c r="A266" s="66" t="s">
        <v>324</v>
      </c>
      <c r="B266" s="67">
        <v>26</v>
      </c>
      <c r="C266" s="66"/>
      <c r="D266" s="66">
        <f t="shared" ref="D266:AL266" si="64">SUM(D265,D260)</f>
        <v>331</v>
      </c>
      <c r="E266" s="66">
        <f t="shared" si="64"/>
        <v>23</v>
      </c>
      <c r="F266" s="66">
        <f t="shared" si="64"/>
        <v>27</v>
      </c>
      <c r="G266" s="66">
        <f t="shared" si="64"/>
        <v>1</v>
      </c>
      <c r="H266" s="61">
        <f t="shared" si="64"/>
        <v>382</v>
      </c>
      <c r="I266" s="66">
        <f t="shared" si="64"/>
        <v>10</v>
      </c>
      <c r="J266" s="66">
        <f t="shared" si="64"/>
        <v>0</v>
      </c>
      <c r="K266" s="66">
        <f t="shared" si="64"/>
        <v>4</v>
      </c>
      <c r="L266" s="66">
        <f t="shared" si="64"/>
        <v>0</v>
      </c>
      <c r="M266" s="61">
        <f t="shared" si="64"/>
        <v>14</v>
      </c>
      <c r="N266" s="66">
        <f t="shared" si="64"/>
        <v>89</v>
      </c>
      <c r="O266" s="66">
        <f t="shared" si="64"/>
        <v>9</v>
      </c>
      <c r="P266" s="66">
        <f t="shared" si="64"/>
        <v>13</v>
      </c>
      <c r="Q266" s="66">
        <f t="shared" si="64"/>
        <v>2</v>
      </c>
      <c r="R266" s="61">
        <f t="shared" si="64"/>
        <v>113</v>
      </c>
      <c r="S266" s="66">
        <f t="shared" si="64"/>
        <v>4</v>
      </c>
      <c r="T266" s="66">
        <f t="shared" si="64"/>
        <v>0</v>
      </c>
      <c r="U266" s="66">
        <f t="shared" si="64"/>
        <v>0</v>
      </c>
      <c r="V266" s="66">
        <f t="shared" si="64"/>
        <v>0</v>
      </c>
      <c r="W266" s="61">
        <f t="shared" si="64"/>
        <v>4</v>
      </c>
      <c r="X266" s="66">
        <f t="shared" si="64"/>
        <v>0</v>
      </c>
      <c r="Y266" s="66">
        <f t="shared" si="64"/>
        <v>0</v>
      </c>
      <c r="Z266" s="66">
        <f t="shared" si="64"/>
        <v>0</v>
      </c>
      <c r="AA266" s="66">
        <f t="shared" si="64"/>
        <v>0</v>
      </c>
      <c r="AB266" s="61">
        <f t="shared" si="64"/>
        <v>0</v>
      </c>
      <c r="AC266" s="66">
        <f t="shared" si="64"/>
        <v>10</v>
      </c>
      <c r="AD266" s="66">
        <f t="shared" si="64"/>
        <v>0</v>
      </c>
      <c r="AE266" s="66">
        <f t="shared" si="64"/>
        <v>1</v>
      </c>
      <c r="AF266" s="66">
        <f t="shared" si="64"/>
        <v>0</v>
      </c>
      <c r="AG266" s="61">
        <f t="shared" si="64"/>
        <v>11</v>
      </c>
      <c r="AH266" s="66">
        <f t="shared" si="64"/>
        <v>0</v>
      </c>
      <c r="AI266" s="66">
        <f t="shared" si="64"/>
        <v>1</v>
      </c>
      <c r="AJ266" s="66">
        <f t="shared" si="64"/>
        <v>0</v>
      </c>
      <c r="AK266" s="66">
        <f t="shared" si="64"/>
        <v>0</v>
      </c>
      <c r="AL266" s="61">
        <f t="shared" si="64"/>
        <v>1</v>
      </c>
      <c r="AM266" s="68">
        <f t="shared" si="62"/>
        <v>525</v>
      </c>
    </row>
    <row r="267" spans="1:39" hidden="1" x14ac:dyDescent="0.35">
      <c r="A267" s="59" t="s">
        <v>327</v>
      </c>
      <c r="B267" s="54">
        <v>24</v>
      </c>
      <c r="C267" s="60" t="s">
        <v>225</v>
      </c>
      <c r="D267" s="60"/>
      <c r="E267" s="60"/>
      <c r="F267" s="60"/>
      <c r="G267" s="60"/>
      <c r="H267" s="61">
        <f>SUM(D267:G267)</f>
        <v>0</v>
      </c>
      <c r="I267" s="60"/>
      <c r="J267" s="60"/>
      <c r="K267" s="60"/>
      <c r="L267" s="60"/>
      <c r="M267" s="61">
        <f>SUM(I267:L267)</f>
        <v>0</v>
      </c>
      <c r="N267" s="60">
        <v>2</v>
      </c>
      <c r="O267" s="60"/>
      <c r="P267" s="60"/>
      <c r="Q267" s="60"/>
      <c r="R267" s="61">
        <f>SUM(N267:Q267)</f>
        <v>2</v>
      </c>
      <c r="S267" s="60"/>
      <c r="T267" s="60"/>
      <c r="U267" s="60"/>
      <c r="V267" s="60"/>
      <c r="W267" s="61">
        <f>SUM(S267:V267)</f>
        <v>0</v>
      </c>
      <c r="X267" s="60"/>
      <c r="Y267" s="60"/>
      <c r="Z267" s="60"/>
      <c r="AA267" s="60"/>
      <c r="AB267" s="61">
        <f>SUM(X267:AA267)</f>
        <v>0</v>
      </c>
      <c r="AC267" s="60"/>
      <c r="AD267" s="60"/>
      <c r="AE267" s="60"/>
      <c r="AF267" s="60"/>
      <c r="AG267" s="61">
        <f>SUM(AC267:AF267)</f>
        <v>0</v>
      </c>
      <c r="AH267" s="60"/>
      <c r="AI267" s="60"/>
      <c r="AJ267" s="60"/>
      <c r="AK267" s="60"/>
      <c r="AL267" s="61">
        <f>SUM(AH267:AK267)</f>
        <v>0</v>
      </c>
      <c r="AM267" s="68">
        <f t="shared" si="62"/>
        <v>2</v>
      </c>
    </row>
    <row r="268" spans="1:39" hidden="1" x14ac:dyDescent="0.35">
      <c r="A268" s="111" t="s">
        <v>318</v>
      </c>
      <c r="B268" s="54"/>
      <c r="C268" s="63" t="s">
        <v>227</v>
      </c>
      <c r="D268" s="63"/>
      <c r="E268" s="63"/>
      <c r="F268" s="63"/>
      <c r="G268" s="63"/>
      <c r="H268" s="61">
        <f>SUM(D268:G268)</f>
        <v>0</v>
      </c>
      <c r="I268" s="63"/>
      <c r="J268" s="63"/>
      <c r="K268" s="63"/>
      <c r="L268" s="63"/>
      <c r="M268" s="61">
        <f>SUM(I268:L268)</f>
        <v>0</v>
      </c>
      <c r="N268" s="63"/>
      <c r="O268" s="63"/>
      <c r="P268" s="63"/>
      <c r="Q268" s="63"/>
      <c r="R268" s="61">
        <f>SUM(N268:Q268)</f>
        <v>0</v>
      </c>
      <c r="S268" s="63"/>
      <c r="T268" s="63"/>
      <c r="U268" s="63"/>
      <c r="V268" s="63"/>
      <c r="W268" s="61">
        <f>SUM(S268:V268)</f>
        <v>0</v>
      </c>
      <c r="X268" s="63"/>
      <c r="Y268" s="63"/>
      <c r="Z268" s="63"/>
      <c r="AA268" s="63"/>
      <c r="AB268" s="61">
        <f>SUM(X268:AA268)</f>
        <v>0</v>
      </c>
      <c r="AC268" s="63"/>
      <c r="AD268" s="63"/>
      <c r="AE268" s="63"/>
      <c r="AF268" s="63"/>
      <c r="AG268" s="61">
        <f>SUM(AC268:AF268)</f>
        <v>0</v>
      </c>
      <c r="AH268" s="63"/>
      <c r="AI268" s="63"/>
      <c r="AJ268" s="63"/>
      <c r="AK268" s="63"/>
      <c r="AL268" s="61">
        <f>SUM(AH268:AK268)</f>
        <v>0</v>
      </c>
      <c r="AM268" s="68">
        <f t="shared" si="62"/>
        <v>0</v>
      </c>
    </row>
    <row r="269" spans="1:39" hidden="1" x14ac:dyDescent="0.35">
      <c r="A269" s="111"/>
      <c r="B269" s="54"/>
      <c r="C269" s="60" t="s">
        <v>228</v>
      </c>
      <c r="D269" s="60"/>
      <c r="E269" s="60"/>
      <c r="F269" s="60"/>
      <c r="G269" s="60"/>
      <c r="H269" s="61">
        <f>SUM(D269:G269)</f>
        <v>0</v>
      </c>
      <c r="I269" s="60"/>
      <c r="J269" s="60"/>
      <c r="K269" s="60"/>
      <c r="L269" s="60"/>
      <c r="M269" s="61">
        <f>SUM(I269:L269)</f>
        <v>0</v>
      </c>
      <c r="N269" s="60">
        <v>1</v>
      </c>
      <c r="O269" s="60"/>
      <c r="P269" s="60"/>
      <c r="Q269" s="60"/>
      <c r="R269" s="61">
        <f>SUM(N269:Q269)</f>
        <v>1</v>
      </c>
      <c r="S269" s="60"/>
      <c r="T269" s="60"/>
      <c r="U269" s="60"/>
      <c r="V269" s="60"/>
      <c r="W269" s="61">
        <f>SUM(S269:V269)</f>
        <v>0</v>
      </c>
      <c r="X269" s="60"/>
      <c r="Y269" s="60"/>
      <c r="Z269" s="60"/>
      <c r="AA269" s="60"/>
      <c r="AB269" s="61">
        <f>SUM(X269:AA269)</f>
        <v>0</v>
      </c>
      <c r="AC269" s="60"/>
      <c r="AD269" s="60"/>
      <c r="AE269" s="60"/>
      <c r="AF269" s="60"/>
      <c r="AG269" s="61">
        <f>SUM(AC269:AF269)</f>
        <v>0</v>
      </c>
      <c r="AH269" s="60"/>
      <c r="AI269" s="60"/>
      <c r="AJ269" s="60"/>
      <c r="AK269" s="60"/>
      <c r="AL269" s="61">
        <f>SUM(AH269:AK269)</f>
        <v>0</v>
      </c>
      <c r="AM269" s="68">
        <f t="shared" si="62"/>
        <v>1</v>
      </c>
    </row>
    <row r="270" spans="1:39" hidden="1" x14ac:dyDescent="0.35">
      <c r="A270" s="111"/>
      <c r="B270" s="54"/>
      <c r="C270" s="63" t="s">
        <v>235</v>
      </c>
      <c r="D270" s="63"/>
      <c r="E270" s="63"/>
      <c r="F270" s="63"/>
      <c r="G270" s="63"/>
      <c r="H270" s="61">
        <f>SUM(D270:G270)</f>
        <v>0</v>
      </c>
      <c r="I270" s="63"/>
      <c r="J270" s="63"/>
      <c r="K270" s="63"/>
      <c r="L270" s="63"/>
      <c r="M270" s="61">
        <f>SUM(I270:L270)</f>
        <v>0</v>
      </c>
      <c r="N270" s="63"/>
      <c r="O270" s="63"/>
      <c r="P270" s="63"/>
      <c r="Q270" s="63"/>
      <c r="R270" s="61">
        <f>SUM(N270:Q270)</f>
        <v>0</v>
      </c>
      <c r="S270" s="63"/>
      <c r="T270" s="63"/>
      <c r="U270" s="63"/>
      <c r="V270" s="63"/>
      <c r="W270" s="61">
        <f>SUM(S270:V270)</f>
        <v>0</v>
      </c>
      <c r="X270" s="63"/>
      <c r="Y270" s="63"/>
      <c r="Z270" s="63"/>
      <c r="AA270" s="63"/>
      <c r="AB270" s="61">
        <f>SUM(X270:AA270)</f>
        <v>0</v>
      </c>
      <c r="AC270" s="63"/>
      <c r="AD270" s="63"/>
      <c r="AE270" s="63"/>
      <c r="AF270" s="63"/>
      <c r="AG270" s="61">
        <f>SUM(AC270:AF270)</f>
        <v>0</v>
      </c>
      <c r="AH270" s="63"/>
      <c r="AI270" s="63"/>
      <c r="AJ270" s="63"/>
      <c r="AK270" s="63"/>
      <c r="AL270" s="61">
        <f>SUM(AH270:AK270)</f>
        <v>0</v>
      </c>
      <c r="AM270" s="68">
        <f t="shared" si="62"/>
        <v>0</v>
      </c>
    </row>
    <row r="271" spans="1:39" hidden="1" x14ac:dyDescent="0.35">
      <c r="A271" s="66" t="s">
        <v>318</v>
      </c>
      <c r="B271" s="67"/>
      <c r="C271" s="66"/>
      <c r="D271" s="66">
        <f t="shared" ref="D271:AL271" si="65">SUM(D267:D270)</f>
        <v>0</v>
      </c>
      <c r="E271" s="66">
        <f t="shared" si="65"/>
        <v>0</v>
      </c>
      <c r="F271" s="66">
        <f t="shared" si="65"/>
        <v>0</v>
      </c>
      <c r="G271" s="66">
        <f t="shared" si="65"/>
        <v>0</v>
      </c>
      <c r="H271" s="61">
        <f t="shared" si="65"/>
        <v>0</v>
      </c>
      <c r="I271" s="66">
        <f t="shared" si="65"/>
        <v>0</v>
      </c>
      <c r="J271" s="66">
        <f t="shared" si="65"/>
        <v>0</v>
      </c>
      <c r="K271" s="66">
        <f t="shared" si="65"/>
        <v>0</v>
      </c>
      <c r="L271" s="66">
        <f t="shared" si="65"/>
        <v>0</v>
      </c>
      <c r="M271" s="61">
        <f t="shared" si="65"/>
        <v>0</v>
      </c>
      <c r="N271" s="66">
        <f t="shared" si="65"/>
        <v>3</v>
      </c>
      <c r="O271" s="66">
        <f t="shared" si="65"/>
        <v>0</v>
      </c>
      <c r="P271" s="66">
        <f t="shared" si="65"/>
        <v>0</v>
      </c>
      <c r="Q271" s="66">
        <f t="shared" si="65"/>
        <v>0</v>
      </c>
      <c r="R271" s="61">
        <f t="shared" si="65"/>
        <v>3</v>
      </c>
      <c r="S271" s="66">
        <f t="shared" si="65"/>
        <v>0</v>
      </c>
      <c r="T271" s="66">
        <f t="shared" si="65"/>
        <v>0</v>
      </c>
      <c r="U271" s="66">
        <f t="shared" si="65"/>
        <v>0</v>
      </c>
      <c r="V271" s="66">
        <f t="shared" si="65"/>
        <v>0</v>
      </c>
      <c r="W271" s="61">
        <f t="shared" si="65"/>
        <v>0</v>
      </c>
      <c r="X271" s="66">
        <f t="shared" si="65"/>
        <v>0</v>
      </c>
      <c r="Y271" s="66">
        <f t="shared" si="65"/>
        <v>0</v>
      </c>
      <c r="Z271" s="66">
        <f t="shared" si="65"/>
        <v>0</v>
      </c>
      <c r="AA271" s="66">
        <f t="shared" si="65"/>
        <v>0</v>
      </c>
      <c r="AB271" s="61">
        <f t="shared" si="65"/>
        <v>0</v>
      </c>
      <c r="AC271" s="66">
        <f t="shared" si="65"/>
        <v>0</v>
      </c>
      <c r="AD271" s="66">
        <f t="shared" si="65"/>
        <v>0</v>
      </c>
      <c r="AE271" s="66">
        <f t="shared" si="65"/>
        <v>0</v>
      </c>
      <c r="AF271" s="66">
        <f t="shared" si="65"/>
        <v>0</v>
      </c>
      <c r="AG271" s="61">
        <f t="shared" si="65"/>
        <v>0</v>
      </c>
      <c r="AH271" s="66">
        <f t="shared" si="65"/>
        <v>0</v>
      </c>
      <c r="AI271" s="66">
        <f t="shared" si="65"/>
        <v>0</v>
      </c>
      <c r="AJ271" s="66">
        <f t="shared" si="65"/>
        <v>0</v>
      </c>
      <c r="AK271" s="66">
        <f t="shared" si="65"/>
        <v>0</v>
      </c>
      <c r="AL271" s="61">
        <f t="shared" si="65"/>
        <v>0</v>
      </c>
      <c r="AM271" s="68">
        <f t="shared" si="62"/>
        <v>3</v>
      </c>
    </row>
    <row r="272" spans="1:39" hidden="1" x14ac:dyDescent="0.35">
      <c r="A272" s="111" t="s">
        <v>323</v>
      </c>
      <c r="B272" s="54"/>
      <c r="C272" s="60" t="s">
        <v>225</v>
      </c>
      <c r="D272" s="60"/>
      <c r="E272" s="60"/>
      <c r="F272" s="60"/>
      <c r="G272" s="60"/>
      <c r="H272" s="61">
        <f>SUM(D272:G272)</f>
        <v>0</v>
      </c>
      <c r="I272" s="60"/>
      <c r="J272" s="60"/>
      <c r="K272" s="60"/>
      <c r="L272" s="60"/>
      <c r="M272" s="61">
        <f>SUM(I272:L272)</f>
        <v>0</v>
      </c>
      <c r="N272" s="60"/>
      <c r="O272" s="60"/>
      <c r="P272" s="60"/>
      <c r="Q272" s="60"/>
      <c r="R272" s="61">
        <f>SUM(N272:Q272)</f>
        <v>0</v>
      </c>
      <c r="S272" s="60"/>
      <c r="T272" s="60"/>
      <c r="U272" s="60"/>
      <c r="V272" s="60"/>
      <c r="W272" s="61">
        <f>SUM(S272:V272)</f>
        <v>0</v>
      </c>
      <c r="X272" s="60"/>
      <c r="Y272" s="60"/>
      <c r="Z272" s="60"/>
      <c r="AA272" s="60"/>
      <c r="AB272" s="61">
        <f>SUM(X272:AA272)</f>
        <v>0</v>
      </c>
      <c r="AC272" s="60"/>
      <c r="AD272" s="60"/>
      <c r="AE272" s="60"/>
      <c r="AF272" s="60"/>
      <c r="AG272" s="61">
        <f>SUM(AC272:AF272)</f>
        <v>0</v>
      </c>
      <c r="AH272" s="60"/>
      <c r="AI272" s="60"/>
      <c r="AJ272" s="60"/>
      <c r="AK272" s="60"/>
      <c r="AL272" s="61">
        <f>SUM(AH272:AK272)</f>
        <v>0</v>
      </c>
      <c r="AM272" s="68">
        <f t="shared" si="62"/>
        <v>0</v>
      </c>
    </row>
    <row r="273" spans="1:39" hidden="1" x14ac:dyDescent="0.35">
      <c r="A273" s="111"/>
      <c r="B273" s="54"/>
      <c r="C273" s="63" t="s">
        <v>227</v>
      </c>
      <c r="D273" s="63">
        <v>1</v>
      </c>
      <c r="E273" s="63"/>
      <c r="F273" s="63"/>
      <c r="G273" s="63"/>
      <c r="H273" s="61">
        <f>SUM(D273:G273)</f>
        <v>1</v>
      </c>
      <c r="I273" s="63"/>
      <c r="J273" s="63"/>
      <c r="K273" s="63"/>
      <c r="L273" s="63"/>
      <c r="M273" s="61">
        <f>SUM(I273:L273)</f>
        <v>0</v>
      </c>
      <c r="N273" s="63"/>
      <c r="O273" s="63"/>
      <c r="P273" s="63"/>
      <c r="Q273" s="63"/>
      <c r="R273" s="61">
        <f>SUM(N273:Q273)</f>
        <v>0</v>
      </c>
      <c r="S273" s="63"/>
      <c r="T273" s="63"/>
      <c r="U273" s="63"/>
      <c r="V273" s="63"/>
      <c r="W273" s="61">
        <f>SUM(S273:V273)</f>
        <v>0</v>
      </c>
      <c r="X273" s="63"/>
      <c r="Y273" s="63"/>
      <c r="Z273" s="63"/>
      <c r="AA273" s="63"/>
      <c r="AB273" s="61">
        <f>SUM(X273:AA273)</f>
        <v>0</v>
      </c>
      <c r="AC273" s="63"/>
      <c r="AD273" s="63"/>
      <c r="AE273" s="63"/>
      <c r="AF273" s="63"/>
      <c r="AG273" s="61">
        <f>SUM(AC273:AF273)</f>
        <v>0</v>
      </c>
      <c r="AH273" s="63">
        <v>1</v>
      </c>
      <c r="AI273" s="63"/>
      <c r="AJ273" s="63"/>
      <c r="AK273" s="63"/>
      <c r="AL273" s="61">
        <f>SUM(AH273:AK273)</f>
        <v>1</v>
      </c>
      <c r="AM273" s="68">
        <f t="shared" si="62"/>
        <v>2</v>
      </c>
    </row>
    <row r="274" spans="1:39" hidden="1" x14ac:dyDescent="0.35">
      <c r="A274" s="111"/>
      <c r="B274" s="54"/>
      <c r="C274" s="60" t="s">
        <v>228</v>
      </c>
      <c r="D274" s="60"/>
      <c r="E274" s="60"/>
      <c r="F274" s="60"/>
      <c r="G274" s="60"/>
      <c r="H274" s="61">
        <f>SUM(D274:G274)</f>
        <v>0</v>
      </c>
      <c r="I274" s="60"/>
      <c r="J274" s="60"/>
      <c r="K274" s="60"/>
      <c r="L274" s="60"/>
      <c r="M274" s="61">
        <f>SUM(I274:L274)</f>
        <v>0</v>
      </c>
      <c r="N274" s="60"/>
      <c r="O274" s="60"/>
      <c r="P274" s="60"/>
      <c r="Q274" s="60"/>
      <c r="R274" s="61">
        <f>SUM(N274:Q274)</f>
        <v>0</v>
      </c>
      <c r="S274" s="60"/>
      <c r="T274" s="60"/>
      <c r="U274" s="60"/>
      <c r="V274" s="60"/>
      <c r="W274" s="61">
        <f>SUM(S274:V274)</f>
        <v>0</v>
      </c>
      <c r="X274" s="60"/>
      <c r="Y274" s="60"/>
      <c r="Z274" s="60"/>
      <c r="AA274" s="60"/>
      <c r="AB274" s="61">
        <f>SUM(X274:AA274)</f>
        <v>0</v>
      </c>
      <c r="AC274" s="60"/>
      <c r="AD274" s="60"/>
      <c r="AE274" s="60"/>
      <c r="AF274" s="60"/>
      <c r="AG274" s="61">
        <f>SUM(AC274:AF274)</f>
        <v>0</v>
      </c>
      <c r="AH274" s="60"/>
      <c r="AI274" s="60"/>
      <c r="AJ274" s="60"/>
      <c r="AK274" s="60"/>
      <c r="AL274" s="61">
        <f>SUM(AH274:AK274)</f>
        <v>0</v>
      </c>
      <c r="AM274" s="68">
        <f t="shared" si="62"/>
        <v>0</v>
      </c>
    </row>
    <row r="275" spans="1:39" hidden="1" x14ac:dyDescent="0.35">
      <c r="A275" s="111"/>
      <c r="B275" s="54"/>
      <c r="C275" s="63" t="s">
        <v>235</v>
      </c>
      <c r="D275" s="63"/>
      <c r="E275" s="63"/>
      <c r="F275" s="63"/>
      <c r="G275" s="63"/>
      <c r="H275" s="61">
        <f>SUM(D275:G275)</f>
        <v>0</v>
      </c>
      <c r="I275" s="63"/>
      <c r="J275" s="63"/>
      <c r="K275" s="63"/>
      <c r="L275" s="63"/>
      <c r="M275" s="61">
        <f>SUM(I275:L275)</f>
        <v>0</v>
      </c>
      <c r="N275" s="63"/>
      <c r="O275" s="63"/>
      <c r="P275" s="63"/>
      <c r="Q275" s="63"/>
      <c r="R275" s="61">
        <f>SUM(N275:Q275)</f>
        <v>0</v>
      </c>
      <c r="S275" s="63"/>
      <c r="T275" s="63"/>
      <c r="U275" s="63"/>
      <c r="V275" s="63"/>
      <c r="W275" s="61">
        <f>SUM(S275:V275)</f>
        <v>0</v>
      </c>
      <c r="X275" s="63"/>
      <c r="Y275" s="63"/>
      <c r="Z275" s="63"/>
      <c r="AA275" s="63"/>
      <c r="AB275" s="61">
        <f>SUM(X275:AA275)</f>
        <v>0</v>
      </c>
      <c r="AC275" s="63"/>
      <c r="AD275" s="63"/>
      <c r="AE275" s="63"/>
      <c r="AF275" s="63"/>
      <c r="AG275" s="61">
        <f>SUM(AC275:AF275)</f>
        <v>0</v>
      </c>
      <c r="AH275" s="63">
        <v>3</v>
      </c>
      <c r="AI275" s="63"/>
      <c r="AJ275" s="63"/>
      <c r="AK275" s="63"/>
      <c r="AL275" s="61">
        <f>SUM(AH275:AK275)</f>
        <v>3</v>
      </c>
      <c r="AM275" s="68">
        <f t="shared" si="62"/>
        <v>3</v>
      </c>
    </row>
    <row r="276" spans="1:39" hidden="1" x14ac:dyDescent="0.35">
      <c r="A276" s="76" t="s">
        <v>328</v>
      </c>
      <c r="B276" s="67"/>
      <c r="C276" s="66"/>
      <c r="D276" s="66">
        <f t="shared" ref="D276:AL276" si="66">SUM(D272:D275)</f>
        <v>1</v>
      </c>
      <c r="E276" s="66">
        <f t="shared" si="66"/>
        <v>0</v>
      </c>
      <c r="F276" s="66">
        <f t="shared" si="66"/>
        <v>0</v>
      </c>
      <c r="G276" s="66">
        <f t="shared" si="66"/>
        <v>0</v>
      </c>
      <c r="H276" s="61">
        <f t="shared" si="66"/>
        <v>1</v>
      </c>
      <c r="I276" s="66">
        <f t="shared" si="66"/>
        <v>0</v>
      </c>
      <c r="J276" s="66">
        <f t="shared" si="66"/>
        <v>0</v>
      </c>
      <c r="K276" s="66">
        <f t="shared" si="66"/>
        <v>0</v>
      </c>
      <c r="L276" s="66">
        <f t="shared" si="66"/>
        <v>0</v>
      </c>
      <c r="M276" s="61">
        <f t="shared" si="66"/>
        <v>0</v>
      </c>
      <c r="N276" s="66">
        <f t="shared" si="66"/>
        <v>0</v>
      </c>
      <c r="O276" s="66">
        <f t="shared" si="66"/>
        <v>0</v>
      </c>
      <c r="P276" s="66">
        <f t="shared" si="66"/>
        <v>0</v>
      </c>
      <c r="Q276" s="66">
        <f t="shared" si="66"/>
        <v>0</v>
      </c>
      <c r="R276" s="61">
        <f t="shared" si="66"/>
        <v>0</v>
      </c>
      <c r="S276" s="66">
        <f t="shared" si="66"/>
        <v>0</v>
      </c>
      <c r="T276" s="66">
        <f t="shared" si="66"/>
        <v>0</v>
      </c>
      <c r="U276" s="66">
        <f t="shared" si="66"/>
        <v>0</v>
      </c>
      <c r="V276" s="66">
        <f t="shared" si="66"/>
        <v>0</v>
      </c>
      <c r="W276" s="61">
        <f t="shared" si="66"/>
        <v>0</v>
      </c>
      <c r="X276" s="66">
        <f t="shared" si="66"/>
        <v>0</v>
      </c>
      <c r="Y276" s="66">
        <f t="shared" si="66"/>
        <v>0</v>
      </c>
      <c r="Z276" s="66">
        <f t="shared" si="66"/>
        <v>0</v>
      </c>
      <c r="AA276" s="66">
        <f t="shared" si="66"/>
        <v>0</v>
      </c>
      <c r="AB276" s="61">
        <f t="shared" si="66"/>
        <v>0</v>
      </c>
      <c r="AC276" s="66">
        <f t="shared" si="66"/>
        <v>0</v>
      </c>
      <c r="AD276" s="66">
        <f t="shared" si="66"/>
        <v>0</v>
      </c>
      <c r="AE276" s="66">
        <f t="shared" si="66"/>
        <v>0</v>
      </c>
      <c r="AF276" s="66">
        <f t="shared" si="66"/>
        <v>0</v>
      </c>
      <c r="AG276" s="61">
        <f t="shared" si="66"/>
        <v>0</v>
      </c>
      <c r="AH276" s="66">
        <f t="shared" si="66"/>
        <v>4</v>
      </c>
      <c r="AI276" s="66">
        <f t="shared" si="66"/>
        <v>0</v>
      </c>
      <c r="AJ276" s="66">
        <f t="shared" si="66"/>
        <v>0</v>
      </c>
      <c r="AK276" s="66">
        <f t="shared" si="66"/>
        <v>0</v>
      </c>
      <c r="AL276" s="61">
        <f t="shared" si="66"/>
        <v>4</v>
      </c>
      <c r="AM276" s="68">
        <f t="shared" si="62"/>
        <v>5</v>
      </c>
    </row>
    <row r="277" spans="1:39" x14ac:dyDescent="0.35">
      <c r="A277" s="66" t="s">
        <v>327</v>
      </c>
      <c r="B277" s="67">
        <v>24</v>
      </c>
      <c r="C277" s="66"/>
      <c r="D277" s="66">
        <f t="shared" ref="D277:AL277" si="67">SUM(D276,D271)</f>
        <v>1</v>
      </c>
      <c r="E277" s="66">
        <f t="shared" si="67"/>
        <v>0</v>
      </c>
      <c r="F277" s="66">
        <f t="shared" si="67"/>
        <v>0</v>
      </c>
      <c r="G277" s="66">
        <f t="shared" si="67"/>
        <v>0</v>
      </c>
      <c r="H277" s="61">
        <f t="shared" si="67"/>
        <v>1</v>
      </c>
      <c r="I277" s="66">
        <f t="shared" si="67"/>
        <v>0</v>
      </c>
      <c r="J277" s="66">
        <f t="shared" si="67"/>
        <v>0</v>
      </c>
      <c r="K277" s="66">
        <f t="shared" si="67"/>
        <v>0</v>
      </c>
      <c r="L277" s="66">
        <f t="shared" si="67"/>
        <v>0</v>
      </c>
      <c r="M277" s="61">
        <f t="shared" si="67"/>
        <v>0</v>
      </c>
      <c r="N277" s="66">
        <f t="shared" si="67"/>
        <v>3</v>
      </c>
      <c r="O277" s="66">
        <f t="shared" si="67"/>
        <v>0</v>
      </c>
      <c r="P277" s="66">
        <f t="shared" si="67"/>
        <v>0</v>
      </c>
      <c r="Q277" s="66">
        <f t="shared" si="67"/>
        <v>0</v>
      </c>
      <c r="R277" s="61">
        <f t="shared" si="67"/>
        <v>3</v>
      </c>
      <c r="S277" s="66">
        <f t="shared" si="67"/>
        <v>0</v>
      </c>
      <c r="T277" s="66">
        <f t="shared" si="67"/>
        <v>0</v>
      </c>
      <c r="U277" s="66">
        <f t="shared" si="67"/>
        <v>0</v>
      </c>
      <c r="V277" s="66">
        <f t="shared" si="67"/>
        <v>0</v>
      </c>
      <c r="W277" s="61">
        <f t="shared" si="67"/>
        <v>0</v>
      </c>
      <c r="X277" s="66">
        <f t="shared" si="67"/>
        <v>0</v>
      </c>
      <c r="Y277" s="66">
        <f t="shared" si="67"/>
        <v>0</v>
      </c>
      <c r="Z277" s="66">
        <f t="shared" si="67"/>
        <v>0</v>
      </c>
      <c r="AA277" s="66">
        <f t="shared" si="67"/>
        <v>0</v>
      </c>
      <c r="AB277" s="61">
        <f t="shared" si="67"/>
        <v>0</v>
      </c>
      <c r="AC277" s="66">
        <f t="shared" si="67"/>
        <v>0</v>
      </c>
      <c r="AD277" s="66">
        <f t="shared" si="67"/>
        <v>0</v>
      </c>
      <c r="AE277" s="66">
        <f t="shared" si="67"/>
        <v>0</v>
      </c>
      <c r="AF277" s="66">
        <f t="shared" si="67"/>
        <v>0</v>
      </c>
      <c r="AG277" s="61">
        <f t="shared" si="67"/>
        <v>0</v>
      </c>
      <c r="AH277" s="66">
        <f t="shared" si="67"/>
        <v>4</v>
      </c>
      <c r="AI277" s="66">
        <f t="shared" si="67"/>
        <v>0</v>
      </c>
      <c r="AJ277" s="66">
        <f t="shared" si="67"/>
        <v>0</v>
      </c>
      <c r="AK277" s="66">
        <f t="shared" si="67"/>
        <v>0</v>
      </c>
      <c r="AL277" s="61">
        <f t="shared" si="67"/>
        <v>4</v>
      </c>
      <c r="AM277" s="68">
        <f t="shared" si="62"/>
        <v>8</v>
      </c>
    </row>
    <row r="278" spans="1:39" hidden="1" x14ac:dyDescent="0.35">
      <c r="A278" s="59" t="s">
        <v>329</v>
      </c>
      <c r="B278" s="54" t="s">
        <v>330</v>
      </c>
      <c r="C278" s="60" t="s">
        <v>225</v>
      </c>
      <c r="D278" s="60"/>
      <c r="E278" s="60"/>
      <c r="F278" s="60"/>
      <c r="G278" s="60"/>
      <c r="H278" s="61">
        <f>SUM(D278:G278)</f>
        <v>0</v>
      </c>
      <c r="I278" s="60"/>
      <c r="J278" s="60"/>
      <c r="K278" s="60"/>
      <c r="L278" s="60"/>
      <c r="M278" s="61">
        <f>SUM(I278:L278)</f>
        <v>0</v>
      </c>
      <c r="N278" s="60"/>
      <c r="O278" s="60"/>
      <c r="P278" s="60"/>
      <c r="Q278" s="60"/>
      <c r="R278" s="61">
        <f>SUM(N278:Q278)</f>
        <v>0</v>
      </c>
      <c r="S278" s="60"/>
      <c r="T278" s="60"/>
      <c r="U278" s="60"/>
      <c r="V278" s="60"/>
      <c r="W278" s="61">
        <f>SUM(S278:V278)</f>
        <v>0</v>
      </c>
      <c r="X278" s="60"/>
      <c r="Y278" s="60"/>
      <c r="Z278" s="60"/>
      <c r="AA278" s="60"/>
      <c r="AB278" s="61">
        <f>SUM(X278:AA278)</f>
        <v>0</v>
      </c>
      <c r="AC278" s="60"/>
      <c r="AD278" s="60"/>
      <c r="AE278" s="60"/>
      <c r="AF278" s="60"/>
      <c r="AG278" s="61">
        <f>SUM(AC278:AF278)</f>
        <v>0</v>
      </c>
      <c r="AH278" s="60"/>
      <c r="AI278" s="60"/>
      <c r="AJ278" s="60"/>
      <c r="AK278" s="60"/>
      <c r="AL278" s="61">
        <f>SUM(AH278:AK278)</f>
        <v>0</v>
      </c>
      <c r="AM278" s="68">
        <f t="shared" si="62"/>
        <v>0</v>
      </c>
    </row>
    <row r="279" spans="1:39" hidden="1" x14ac:dyDescent="0.35">
      <c r="A279" s="111" t="s">
        <v>343</v>
      </c>
      <c r="B279" s="54"/>
      <c r="C279" s="63" t="s">
        <v>227</v>
      </c>
      <c r="D279" s="63"/>
      <c r="E279" s="63"/>
      <c r="F279" s="63"/>
      <c r="G279" s="63"/>
      <c r="H279" s="61">
        <f>SUM(D279:G279)</f>
        <v>0</v>
      </c>
      <c r="I279" s="63"/>
      <c r="J279" s="63"/>
      <c r="K279" s="63"/>
      <c r="L279" s="63"/>
      <c r="M279" s="61">
        <f>SUM(I279:L279)</f>
        <v>0</v>
      </c>
      <c r="N279" s="63"/>
      <c r="O279" s="63"/>
      <c r="P279" s="63"/>
      <c r="Q279" s="63"/>
      <c r="R279" s="61">
        <f>SUM(N279:Q279)</f>
        <v>0</v>
      </c>
      <c r="S279" s="63"/>
      <c r="T279" s="63"/>
      <c r="U279" s="63"/>
      <c r="V279" s="63"/>
      <c r="W279" s="61">
        <f>SUM(S279:V279)</f>
        <v>0</v>
      </c>
      <c r="X279" s="63"/>
      <c r="Y279" s="63"/>
      <c r="Z279" s="63"/>
      <c r="AA279" s="63"/>
      <c r="AB279" s="61">
        <f>SUM(X279:AA279)</f>
        <v>0</v>
      </c>
      <c r="AC279" s="63"/>
      <c r="AD279" s="63"/>
      <c r="AE279" s="63"/>
      <c r="AF279" s="63"/>
      <c r="AG279" s="61">
        <f>SUM(AC279:AF279)</f>
        <v>0</v>
      </c>
      <c r="AH279" s="63"/>
      <c r="AI279" s="63"/>
      <c r="AJ279" s="63"/>
      <c r="AK279" s="63"/>
      <c r="AL279" s="61">
        <f>SUM(AH279:AK279)</f>
        <v>0</v>
      </c>
      <c r="AM279" s="68">
        <f t="shared" si="62"/>
        <v>0</v>
      </c>
    </row>
    <row r="280" spans="1:39" hidden="1" x14ac:dyDescent="0.35">
      <c r="A280" s="111"/>
      <c r="B280" s="54"/>
      <c r="C280" s="60" t="s">
        <v>228</v>
      </c>
      <c r="D280" s="60"/>
      <c r="E280" s="60"/>
      <c r="F280" s="60"/>
      <c r="G280" s="60"/>
      <c r="H280" s="61">
        <f>SUM(D280:G280)</f>
        <v>0</v>
      </c>
      <c r="I280" s="60"/>
      <c r="J280" s="60"/>
      <c r="K280" s="60"/>
      <c r="L280" s="60"/>
      <c r="M280" s="61">
        <f>SUM(I280:L280)</f>
        <v>0</v>
      </c>
      <c r="N280" s="60"/>
      <c r="O280" s="60"/>
      <c r="P280" s="60"/>
      <c r="Q280" s="60"/>
      <c r="R280" s="61">
        <f>SUM(N280:Q280)</f>
        <v>0</v>
      </c>
      <c r="S280" s="60"/>
      <c r="T280" s="60"/>
      <c r="U280" s="60"/>
      <c r="V280" s="60"/>
      <c r="W280" s="61">
        <f>SUM(S280:V280)</f>
        <v>0</v>
      </c>
      <c r="X280" s="60"/>
      <c r="Y280" s="60"/>
      <c r="Z280" s="60"/>
      <c r="AA280" s="60"/>
      <c r="AB280" s="61">
        <f>SUM(X280:AA280)</f>
        <v>0</v>
      </c>
      <c r="AC280" s="60"/>
      <c r="AD280" s="60"/>
      <c r="AE280" s="60"/>
      <c r="AF280" s="60"/>
      <c r="AG280" s="61">
        <f>SUM(AC280:AF280)</f>
        <v>0</v>
      </c>
      <c r="AH280" s="60"/>
      <c r="AI280" s="60"/>
      <c r="AJ280" s="60"/>
      <c r="AK280" s="60"/>
      <c r="AL280" s="61">
        <f>SUM(AH280:AK280)</f>
        <v>0</v>
      </c>
      <c r="AM280" s="68">
        <f t="shared" si="62"/>
        <v>0</v>
      </c>
    </row>
    <row r="281" spans="1:39" hidden="1" x14ac:dyDescent="0.35">
      <c r="A281" s="111"/>
      <c r="B281" s="54"/>
      <c r="C281" s="63" t="s">
        <v>235</v>
      </c>
      <c r="D281" s="63"/>
      <c r="E281" s="63"/>
      <c r="F281" s="63"/>
      <c r="G281" s="63"/>
      <c r="H281" s="61">
        <f>SUM(D281:G281)</f>
        <v>0</v>
      </c>
      <c r="I281" s="63"/>
      <c r="J281" s="63"/>
      <c r="K281" s="63"/>
      <c r="L281" s="63"/>
      <c r="M281" s="61">
        <f>SUM(I281:L281)</f>
        <v>0</v>
      </c>
      <c r="N281" s="63"/>
      <c r="O281" s="63"/>
      <c r="P281" s="63"/>
      <c r="Q281" s="63"/>
      <c r="R281" s="61">
        <f>SUM(N281:Q281)</f>
        <v>0</v>
      </c>
      <c r="S281" s="63"/>
      <c r="T281" s="63"/>
      <c r="U281" s="63"/>
      <c r="V281" s="63"/>
      <c r="W281" s="61">
        <f>SUM(S281:V281)</f>
        <v>0</v>
      </c>
      <c r="X281" s="63"/>
      <c r="Y281" s="63"/>
      <c r="Z281" s="63"/>
      <c r="AA281" s="63"/>
      <c r="AB281" s="61">
        <f>SUM(X281:AA281)</f>
        <v>0</v>
      </c>
      <c r="AC281" s="63"/>
      <c r="AD281" s="63"/>
      <c r="AE281" s="63"/>
      <c r="AF281" s="63"/>
      <c r="AG281" s="61">
        <f>SUM(AC281:AF281)</f>
        <v>0</v>
      </c>
      <c r="AH281" s="63"/>
      <c r="AI281" s="63"/>
      <c r="AJ281" s="63"/>
      <c r="AK281" s="63"/>
      <c r="AL281" s="61">
        <f>SUM(AH281:AK281)</f>
        <v>0</v>
      </c>
      <c r="AM281" s="68">
        <f t="shared" si="62"/>
        <v>0</v>
      </c>
    </row>
    <row r="282" spans="1:39" x14ac:dyDescent="0.35">
      <c r="A282" s="66" t="s">
        <v>329</v>
      </c>
      <c r="B282" s="67" t="s">
        <v>330</v>
      </c>
      <c r="C282" s="66"/>
      <c r="D282" s="66">
        <f t="shared" ref="D282:AL282" si="68">SUM(D278:D281)</f>
        <v>0</v>
      </c>
      <c r="E282" s="66">
        <f t="shared" si="68"/>
        <v>0</v>
      </c>
      <c r="F282" s="66">
        <f t="shared" si="68"/>
        <v>0</v>
      </c>
      <c r="G282" s="66">
        <f t="shared" si="68"/>
        <v>0</v>
      </c>
      <c r="H282" s="61">
        <f t="shared" si="68"/>
        <v>0</v>
      </c>
      <c r="I282" s="66">
        <f t="shared" si="68"/>
        <v>0</v>
      </c>
      <c r="J282" s="66">
        <f t="shared" si="68"/>
        <v>0</v>
      </c>
      <c r="K282" s="66">
        <f t="shared" si="68"/>
        <v>0</v>
      </c>
      <c r="L282" s="66">
        <f t="shared" si="68"/>
        <v>0</v>
      </c>
      <c r="M282" s="61">
        <f t="shared" si="68"/>
        <v>0</v>
      </c>
      <c r="N282" s="66">
        <f t="shared" si="68"/>
        <v>0</v>
      </c>
      <c r="O282" s="66">
        <f t="shared" si="68"/>
        <v>0</v>
      </c>
      <c r="P282" s="66">
        <f t="shared" si="68"/>
        <v>0</v>
      </c>
      <c r="Q282" s="66">
        <f t="shared" si="68"/>
        <v>0</v>
      </c>
      <c r="R282" s="61">
        <f t="shared" si="68"/>
        <v>0</v>
      </c>
      <c r="S282" s="66">
        <f t="shared" si="68"/>
        <v>0</v>
      </c>
      <c r="T282" s="66">
        <f t="shared" si="68"/>
        <v>0</v>
      </c>
      <c r="U282" s="66">
        <f t="shared" si="68"/>
        <v>0</v>
      </c>
      <c r="V282" s="66">
        <f t="shared" si="68"/>
        <v>0</v>
      </c>
      <c r="W282" s="61">
        <f t="shared" si="68"/>
        <v>0</v>
      </c>
      <c r="X282" s="66">
        <f t="shared" si="68"/>
        <v>0</v>
      </c>
      <c r="Y282" s="66">
        <f t="shared" si="68"/>
        <v>0</v>
      </c>
      <c r="Z282" s="66">
        <f t="shared" si="68"/>
        <v>0</v>
      </c>
      <c r="AA282" s="66">
        <f t="shared" si="68"/>
        <v>0</v>
      </c>
      <c r="AB282" s="61">
        <f t="shared" si="68"/>
        <v>0</v>
      </c>
      <c r="AC282" s="66">
        <f t="shared" si="68"/>
        <v>0</v>
      </c>
      <c r="AD282" s="66">
        <f t="shared" si="68"/>
        <v>0</v>
      </c>
      <c r="AE282" s="66">
        <f t="shared" si="68"/>
        <v>0</v>
      </c>
      <c r="AF282" s="66">
        <f t="shared" si="68"/>
        <v>0</v>
      </c>
      <c r="AG282" s="61">
        <f t="shared" si="68"/>
        <v>0</v>
      </c>
      <c r="AH282" s="66">
        <f t="shared" si="68"/>
        <v>0</v>
      </c>
      <c r="AI282" s="66">
        <f t="shared" si="68"/>
        <v>0</v>
      </c>
      <c r="AJ282" s="66">
        <f t="shared" si="68"/>
        <v>0</v>
      </c>
      <c r="AK282" s="66">
        <f t="shared" si="68"/>
        <v>0</v>
      </c>
      <c r="AL282" s="61">
        <f t="shared" si="68"/>
        <v>0</v>
      </c>
      <c r="AM282" s="68">
        <f t="shared" si="62"/>
        <v>0</v>
      </c>
    </row>
    <row r="283" spans="1:39" hidden="1" x14ac:dyDescent="0.35">
      <c r="A283" s="59" t="s">
        <v>332</v>
      </c>
      <c r="B283" s="54">
        <v>7</v>
      </c>
      <c r="C283" s="60" t="s">
        <v>225</v>
      </c>
      <c r="D283" s="60"/>
      <c r="E283" s="60"/>
      <c r="F283" s="60"/>
      <c r="G283" s="60"/>
      <c r="H283" s="61">
        <f>SUM(D283:G283)</f>
        <v>0</v>
      </c>
      <c r="I283" s="60"/>
      <c r="J283" s="60"/>
      <c r="K283" s="60"/>
      <c r="L283" s="60"/>
      <c r="M283" s="61">
        <f>SUM(I283:L283)</f>
        <v>0</v>
      </c>
      <c r="N283" s="60">
        <v>1</v>
      </c>
      <c r="O283" s="60">
        <v>1</v>
      </c>
      <c r="P283" s="60"/>
      <c r="Q283" s="60"/>
      <c r="R283" s="61">
        <f>SUM(N283:Q283)</f>
        <v>2</v>
      </c>
      <c r="S283" s="60"/>
      <c r="T283" s="60"/>
      <c r="U283" s="60"/>
      <c r="V283" s="60"/>
      <c r="W283" s="61">
        <f>SUM(S283:V283)</f>
        <v>0</v>
      </c>
      <c r="X283" s="60"/>
      <c r="Y283" s="60"/>
      <c r="Z283" s="60"/>
      <c r="AA283" s="60"/>
      <c r="AB283" s="61">
        <f>SUM(X283:AA283)</f>
        <v>0</v>
      </c>
      <c r="AC283" s="60"/>
      <c r="AD283" s="60"/>
      <c r="AE283" s="60"/>
      <c r="AF283" s="60"/>
      <c r="AG283" s="61">
        <f>SUM(AC283:AF283)</f>
        <v>0</v>
      </c>
      <c r="AH283" s="60"/>
      <c r="AI283" s="60"/>
      <c r="AJ283" s="60"/>
      <c r="AK283" s="60"/>
      <c r="AL283" s="61">
        <f>SUM(AH283:AK283)</f>
        <v>0</v>
      </c>
      <c r="AM283" s="68">
        <f t="shared" si="62"/>
        <v>2</v>
      </c>
    </row>
    <row r="284" spans="1:39" hidden="1" x14ac:dyDescent="0.35">
      <c r="A284" s="111" t="s">
        <v>284</v>
      </c>
      <c r="B284" s="54"/>
      <c r="C284" s="63" t="s">
        <v>227</v>
      </c>
      <c r="D284" s="63"/>
      <c r="E284" s="63"/>
      <c r="F284" s="63"/>
      <c r="G284" s="63"/>
      <c r="H284" s="61">
        <f>SUM(D284:G284)</f>
        <v>0</v>
      </c>
      <c r="I284" s="63"/>
      <c r="J284" s="63"/>
      <c r="K284" s="63"/>
      <c r="L284" s="63"/>
      <c r="M284" s="61">
        <f>SUM(I284:L284)</f>
        <v>0</v>
      </c>
      <c r="N284" s="63"/>
      <c r="O284" s="63"/>
      <c r="P284" s="63"/>
      <c r="Q284" s="63"/>
      <c r="R284" s="61">
        <f>SUM(N284:Q284)</f>
        <v>0</v>
      </c>
      <c r="S284" s="63"/>
      <c r="T284" s="63"/>
      <c r="U284" s="63"/>
      <c r="V284" s="63"/>
      <c r="W284" s="61">
        <f>SUM(S284:V284)</f>
        <v>0</v>
      </c>
      <c r="X284" s="63"/>
      <c r="Y284" s="63"/>
      <c r="Z284" s="63"/>
      <c r="AA284" s="63"/>
      <c r="AB284" s="61">
        <f>SUM(X284:AA284)</f>
        <v>0</v>
      </c>
      <c r="AC284" s="63"/>
      <c r="AD284" s="63"/>
      <c r="AE284" s="63"/>
      <c r="AF284" s="63"/>
      <c r="AG284" s="61">
        <f>SUM(AC284:AF284)</f>
        <v>0</v>
      </c>
      <c r="AH284" s="63"/>
      <c r="AI284" s="63"/>
      <c r="AJ284" s="63"/>
      <c r="AK284" s="63"/>
      <c r="AL284" s="61">
        <f>SUM(AH284:AK284)</f>
        <v>0</v>
      </c>
      <c r="AM284" s="68">
        <f t="shared" si="62"/>
        <v>0</v>
      </c>
    </row>
    <row r="285" spans="1:39" hidden="1" x14ac:dyDescent="0.35">
      <c r="A285" s="111"/>
      <c r="B285" s="54"/>
      <c r="C285" s="60" t="s">
        <v>228</v>
      </c>
      <c r="D285" s="60">
        <v>3</v>
      </c>
      <c r="E285" s="60"/>
      <c r="F285" s="60"/>
      <c r="G285" s="60"/>
      <c r="H285" s="61">
        <f>SUM(D285:G285)</f>
        <v>3</v>
      </c>
      <c r="I285" s="60">
        <v>1</v>
      </c>
      <c r="J285" s="60"/>
      <c r="K285" s="60"/>
      <c r="L285" s="60"/>
      <c r="M285" s="61">
        <f>SUM(I285:L285)</f>
        <v>1</v>
      </c>
      <c r="N285" s="60"/>
      <c r="O285" s="60"/>
      <c r="P285" s="60"/>
      <c r="Q285" s="60"/>
      <c r="R285" s="61">
        <f>SUM(N285:Q285)</f>
        <v>0</v>
      </c>
      <c r="S285" s="60"/>
      <c r="T285" s="60"/>
      <c r="U285" s="60"/>
      <c r="V285" s="60"/>
      <c r="W285" s="61">
        <f>SUM(S285:V285)</f>
        <v>0</v>
      </c>
      <c r="X285" s="60"/>
      <c r="Y285" s="60"/>
      <c r="Z285" s="60"/>
      <c r="AA285" s="60"/>
      <c r="AB285" s="61">
        <f>SUM(X285:AA285)</f>
        <v>0</v>
      </c>
      <c r="AC285" s="60"/>
      <c r="AD285" s="60"/>
      <c r="AE285" s="60"/>
      <c r="AF285" s="60"/>
      <c r="AG285" s="61">
        <f>SUM(AC285:AF285)</f>
        <v>0</v>
      </c>
      <c r="AH285" s="60"/>
      <c r="AI285" s="60"/>
      <c r="AJ285" s="60"/>
      <c r="AK285" s="60"/>
      <c r="AL285" s="61">
        <f>SUM(AH285:AK285)</f>
        <v>0</v>
      </c>
      <c r="AM285" s="68">
        <f t="shared" si="62"/>
        <v>4</v>
      </c>
    </row>
    <row r="286" spans="1:39" hidden="1" x14ac:dyDescent="0.35">
      <c r="A286" s="111"/>
      <c r="B286" s="54"/>
      <c r="C286" s="63" t="s">
        <v>235</v>
      </c>
      <c r="D286" s="63">
        <v>1</v>
      </c>
      <c r="E286" s="63"/>
      <c r="F286" s="63"/>
      <c r="G286" s="63"/>
      <c r="H286" s="61">
        <f>SUM(D286:G286)</f>
        <v>1</v>
      </c>
      <c r="I286" s="63"/>
      <c r="J286" s="63"/>
      <c r="K286" s="63"/>
      <c r="L286" s="63"/>
      <c r="M286" s="61">
        <f>SUM(I286:L286)</f>
        <v>0</v>
      </c>
      <c r="N286" s="63"/>
      <c r="O286" s="63"/>
      <c r="P286" s="63"/>
      <c r="Q286" s="63"/>
      <c r="R286" s="61">
        <f>SUM(N286:Q286)</f>
        <v>0</v>
      </c>
      <c r="S286" s="63"/>
      <c r="T286" s="63"/>
      <c r="U286" s="63"/>
      <c r="V286" s="63"/>
      <c r="W286" s="61">
        <f>SUM(S286:V286)</f>
        <v>0</v>
      </c>
      <c r="X286" s="63"/>
      <c r="Y286" s="63"/>
      <c r="Z286" s="63"/>
      <c r="AA286" s="63"/>
      <c r="AB286" s="61">
        <f>SUM(X286:AA286)</f>
        <v>0</v>
      </c>
      <c r="AC286" s="63"/>
      <c r="AD286" s="63"/>
      <c r="AE286" s="63"/>
      <c r="AF286" s="63"/>
      <c r="AG286" s="61">
        <f>SUM(AC286:AF286)</f>
        <v>0</v>
      </c>
      <c r="AH286" s="63"/>
      <c r="AI286" s="63"/>
      <c r="AJ286" s="63"/>
      <c r="AK286" s="63"/>
      <c r="AL286" s="61">
        <f>SUM(AH286:AK286)</f>
        <v>0</v>
      </c>
      <c r="AM286" s="68">
        <f t="shared" si="62"/>
        <v>1</v>
      </c>
    </row>
    <row r="287" spans="1:39" x14ac:dyDescent="0.35">
      <c r="A287" s="66" t="s">
        <v>332</v>
      </c>
      <c r="B287" s="67">
        <v>7</v>
      </c>
      <c r="C287" s="66"/>
      <c r="D287" s="66">
        <f t="shared" ref="D287:AL287" si="69">SUM(D283:D286)</f>
        <v>4</v>
      </c>
      <c r="E287" s="66">
        <f t="shared" si="69"/>
        <v>0</v>
      </c>
      <c r="F287" s="66">
        <f t="shared" si="69"/>
        <v>0</v>
      </c>
      <c r="G287" s="66">
        <f t="shared" si="69"/>
        <v>0</v>
      </c>
      <c r="H287" s="61">
        <f t="shared" si="69"/>
        <v>4</v>
      </c>
      <c r="I287" s="66">
        <f t="shared" si="69"/>
        <v>1</v>
      </c>
      <c r="J287" s="66">
        <f t="shared" si="69"/>
        <v>0</v>
      </c>
      <c r="K287" s="66">
        <f t="shared" si="69"/>
        <v>0</v>
      </c>
      <c r="L287" s="66">
        <f t="shared" si="69"/>
        <v>0</v>
      </c>
      <c r="M287" s="61">
        <f t="shared" si="69"/>
        <v>1</v>
      </c>
      <c r="N287" s="66">
        <f t="shared" si="69"/>
        <v>1</v>
      </c>
      <c r="O287" s="66">
        <f t="shared" si="69"/>
        <v>1</v>
      </c>
      <c r="P287" s="66">
        <f t="shared" si="69"/>
        <v>0</v>
      </c>
      <c r="Q287" s="66">
        <f t="shared" si="69"/>
        <v>0</v>
      </c>
      <c r="R287" s="61">
        <f t="shared" si="69"/>
        <v>2</v>
      </c>
      <c r="S287" s="66">
        <f t="shared" si="69"/>
        <v>0</v>
      </c>
      <c r="T287" s="66">
        <f t="shared" si="69"/>
        <v>0</v>
      </c>
      <c r="U287" s="66">
        <f t="shared" si="69"/>
        <v>0</v>
      </c>
      <c r="V287" s="66">
        <f t="shared" si="69"/>
        <v>0</v>
      </c>
      <c r="W287" s="61">
        <f t="shared" si="69"/>
        <v>0</v>
      </c>
      <c r="X287" s="66">
        <f t="shared" si="69"/>
        <v>0</v>
      </c>
      <c r="Y287" s="66">
        <f t="shared" si="69"/>
        <v>0</v>
      </c>
      <c r="Z287" s="66">
        <f t="shared" si="69"/>
        <v>0</v>
      </c>
      <c r="AA287" s="66">
        <f t="shared" si="69"/>
        <v>0</v>
      </c>
      <c r="AB287" s="61">
        <f t="shared" si="69"/>
        <v>0</v>
      </c>
      <c r="AC287" s="66">
        <f t="shared" si="69"/>
        <v>0</v>
      </c>
      <c r="AD287" s="66">
        <f t="shared" si="69"/>
        <v>0</v>
      </c>
      <c r="AE287" s="66">
        <f t="shared" si="69"/>
        <v>0</v>
      </c>
      <c r="AF287" s="66">
        <f t="shared" si="69"/>
        <v>0</v>
      </c>
      <c r="AG287" s="61">
        <f t="shared" si="69"/>
        <v>0</v>
      </c>
      <c r="AH287" s="66">
        <f t="shared" si="69"/>
        <v>0</v>
      </c>
      <c r="AI287" s="66">
        <f t="shared" si="69"/>
        <v>0</v>
      </c>
      <c r="AJ287" s="66">
        <f t="shared" si="69"/>
        <v>0</v>
      </c>
      <c r="AK287" s="66">
        <f t="shared" si="69"/>
        <v>0</v>
      </c>
      <c r="AL287" s="61">
        <f t="shared" si="69"/>
        <v>0</v>
      </c>
      <c r="AM287" s="68">
        <f t="shared" si="62"/>
        <v>7</v>
      </c>
    </row>
    <row r="288" spans="1:39" hidden="1" x14ac:dyDescent="0.35">
      <c r="A288" s="59" t="s">
        <v>113</v>
      </c>
      <c r="B288" s="54">
        <v>5</v>
      </c>
      <c r="C288" s="60" t="s">
        <v>225</v>
      </c>
      <c r="D288" s="60">
        <v>5</v>
      </c>
      <c r="E288" s="60"/>
      <c r="F288" s="60"/>
      <c r="G288" s="60"/>
      <c r="H288" s="61">
        <f>SUM(D288:G288)</f>
        <v>5</v>
      </c>
      <c r="I288" s="60"/>
      <c r="J288" s="60"/>
      <c r="K288" s="60"/>
      <c r="L288" s="60"/>
      <c r="M288" s="61">
        <f>SUM(I288:L288)</f>
        <v>0</v>
      </c>
      <c r="N288" s="60">
        <v>6</v>
      </c>
      <c r="O288" s="60"/>
      <c r="P288" s="60"/>
      <c r="Q288" s="60"/>
      <c r="R288" s="61">
        <f>SUM(N288:Q288)</f>
        <v>6</v>
      </c>
      <c r="S288" s="60"/>
      <c r="T288" s="60"/>
      <c r="U288" s="60"/>
      <c r="V288" s="60"/>
      <c r="W288" s="61">
        <f>SUM(S288:V288)</f>
        <v>0</v>
      </c>
      <c r="X288" s="60"/>
      <c r="Y288" s="60"/>
      <c r="Z288" s="60"/>
      <c r="AA288" s="60"/>
      <c r="AB288" s="61">
        <f>SUM(X288:AA288)</f>
        <v>0</v>
      </c>
      <c r="AC288" s="60">
        <v>1</v>
      </c>
      <c r="AD288" s="60"/>
      <c r="AE288" s="60"/>
      <c r="AF288" s="60"/>
      <c r="AG288" s="61">
        <f>SUM(AC288:AF288)</f>
        <v>1</v>
      </c>
      <c r="AH288" s="60">
        <v>3</v>
      </c>
      <c r="AI288" s="60"/>
      <c r="AJ288" s="60"/>
      <c r="AK288" s="60"/>
      <c r="AL288" s="61">
        <f>SUM(AH288:AK288)</f>
        <v>3</v>
      </c>
      <c r="AM288" s="68">
        <f t="shared" si="62"/>
        <v>15</v>
      </c>
    </row>
    <row r="289" spans="1:39" hidden="1" x14ac:dyDescent="0.35">
      <c r="A289" s="111" t="s">
        <v>238</v>
      </c>
      <c r="B289" s="54"/>
      <c r="C289" s="63" t="s">
        <v>227</v>
      </c>
      <c r="D289" s="63">
        <v>4</v>
      </c>
      <c r="E289" s="63"/>
      <c r="F289" s="63"/>
      <c r="G289" s="63"/>
      <c r="H289" s="61">
        <f>SUM(D289:G289)</f>
        <v>4</v>
      </c>
      <c r="I289" s="63"/>
      <c r="J289" s="63"/>
      <c r="K289" s="63"/>
      <c r="L289" s="63"/>
      <c r="M289" s="61">
        <f>SUM(I289:L289)</f>
        <v>0</v>
      </c>
      <c r="N289" s="63">
        <v>4</v>
      </c>
      <c r="O289" s="63"/>
      <c r="P289" s="63"/>
      <c r="Q289" s="63"/>
      <c r="R289" s="61">
        <f>SUM(N289:Q289)</f>
        <v>4</v>
      </c>
      <c r="S289" s="63"/>
      <c r="T289" s="63"/>
      <c r="U289" s="63"/>
      <c r="V289" s="63"/>
      <c r="W289" s="61">
        <f>SUM(S289:V289)</f>
        <v>0</v>
      </c>
      <c r="X289" s="63"/>
      <c r="Y289" s="63"/>
      <c r="Z289" s="63"/>
      <c r="AA289" s="63"/>
      <c r="AB289" s="61">
        <f>SUM(X289:AA289)</f>
        <v>0</v>
      </c>
      <c r="AC289" s="63">
        <v>2</v>
      </c>
      <c r="AD289" s="63"/>
      <c r="AE289" s="63"/>
      <c r="AF289" s="63"/>
      <c r="AG289" s="61">
        <f>SUM(AC289:AF289)</f>
        <v>2</v>
      </c>
      <c r="AH289" s="63"/>
      <c r="AI289" s="63"/>
      <c r="AJ289" s="63"/>
      <c r="AK289" s="63"/>
      <c r="AL289" s="61">
        <f>SUM(AH289:AK289)</f>
        <v>0</v>
      </c>
      <c r="AM289" s="68">
        <f t="shared" si="62"/>
        <v>10</v>
      </c>
    </row>
    <row r="290" spans="1:39" hidden="1" x14ac:dyDescent="0.35">
      <c r="A290" s="111"/>
      <c r="B290" s="54"/>
      <c r="C290" s="60" t="s">
        <v>228</v>
      </c>
      <c r="D290" s="60">
        <v>6</v>
      </c>
      <c r="E290" s="60"/>
      <c r="F290" s="60"/>
      <c r="G290" s="60"/>
      <c r="H290" s="61">
        <f>SUM(D290:G290)</f>
        <v>6</v>
      </c>
      <c r="I290" s="60"/>
      <c r="J290" s="60"/>
      <c r="K290" s="60"/>
      <c r="L290" s="60"/>
      <c r="M290" s="61">
        <f>SUM(I290:L290)</f>
        <v>0</v>
      </c>
      <c r="N290" s="60">
        <v>3</v>
      </c>
      <c r="O290" s="60"/>
      <c r="P290" s="60"/>
      <c r="Q290" s="60"/>
      <c r="R290" s="61">
        <f>SUM(N290:Q290)</f>
        <v>3</v>
      </c>
      <c r="S290" s="60"/>
      <c r="T290" s="60"/>
      <c r="U290" s="60"/>
      <c r="V290" s="60"/>
      <c r="W290" s="61">
        <f>SUM(S290:V290)</f>
        <v>0</v>
      </c>
      <c r="X290" s="60"/>
      <c r="Y290" s="60"/>
      <c r="Z290" s="60"/>
      <c r="AA290" s="60"/>
      <c r="AB290" s="61">
        <f>SUM(X290:AA290)</f>
        <v>0</v>
      </c>
      <c r="AC290" s="60">
        <v>2</v>
      </c>
      <c r="AD290" s="60"/>
      <c r="AE290" s="60"/>
      <c r="AF290" s="60"/>
      <c r="AG290" s="61">
        <f>SUM(AC290:AF290)</f>
        <v>2</v>
      </c>
      <c r="AH290" s="60">
        <v>1</v>
      </c>
      <c r="AI290" s="60"/>
      <c r="AJ290" s="60"/>
      <c r="AK290" s="60"/>
      <c r="AL290" s="61">
        <f>SUM(AH290:AK290)</f>
        <v>1</v>
      </c>
      <c r="AM290" s="68">
        <f t="shared" si="62"/>
        <v>12</v>
      </c>
    </row>
    <row r="291" spans="1:39" hidden="1" x14ac:dyDescent="0.35">
      <c r="A291" s="111"/>
      <c r="B291" s="54"/>
      <c r="C291" s="63" t="s">
        <v>235</v>
      </c>
      <c r="D291" s="63">
        <v>12</v>
      </c>
      <c r="E291" s="63"/>
      <c r="F291" s="63"/>
      <c r="G291" s="63"/>
      <c r="H291" s="61">
        <f>SUM(D291:G291)</f>
        <v>12</v>
      </c>
      <c r="I291" s="63"/>
      <c r="J291" s="63"/>
      <c r="K291" s="63"/>
      <c r="L291" s="63"/>
      <c r="M291" s="61">
        <f>SUM(I291:L291)</f>
        <v>0</v>
      </c>
      <c r="N291" s="63">
        <v>1</v>
      </c>
      <c r="O291" s="63">
        <v>2</v>
      </c>
      <c r="P291" s="63"/>
      <c r="Q291" s="63"/>
      <c r="R291" s="61">
        <f>SUM(N291:Q291)</f>
        <v>3</v>
      </c>
      <c r="S291" s="63"/>
      <c r="T291" s="63"/>
      <c r="U291" s="63"/>
      <c r="V291" s="63"/>
      <c r="W291" s="61">
        <f>SUM(S291:V291)</f>
        <v>0</v>
      </c>
      <c r="X291" s="63"/>
      <c r="Y291" s="63"/>
      <c r="Z291" s="63"/>
      <c r="AA291" s="63"/>
      <c r="AB291" s="61">
        <f>SUM(X291:AA291)</f>
        <v>0</v>
      </c>
      <c r="AC291" s="63">
        <v>2</v>
      </c>
      <c r="AD291" s="63"/>
      <c r="AE291" s="63"/>
      <c r="AF291" s="63"/>
      <c r="AG291" s="61">
        <f>SUM(AC291:AF291)</f>
        <v>2</v>
      </c>
      <c r="AH291" s="63">
        <v>3</v>
      </c>
      <c r="AI291" s="63"/>
      <c r="AJ291" s="63"/>
      <c r="AK291" s="63"/>
      <c r="AL291" s="61">
        <f>SUM(AH291:AK291)</f>
        <v>3</v>
      </c>
      <c r="AM291" s="68">
        <f t="shared" si="62"/>
        <v>20</v>
      </c>
    </row>
    <row r="292" spans="1:39" x14ac:dyDescent="0.35">
      <c r="A292" s="66" t="s">
        <v>113</v>
      </c>
      <c r="B292" s="67">
        <v>5</v>
      </c>
      <c r="C292" s="66"/>
      <c r="D292" s="66">
        <f t="shared" ref="D292:AL292" si="70">SUM(D288:D291)</f>
        <v>27</v>
      </c>
      <c r="E292" s="66">
        <f t="shared" si="70"/>
        <v>0</v>
      </c>
      <c r="F292" s="66">
        <f t="shared" si="70"/>
        <v>0</v>
      </c>
      <c r="G292" s="66">
        <f t="shared" si="70"/>
        <v>0</v>
      </c>
      <c r="H292" s="61">
        <f t="shared" si="70"/>
        <v>27</v>
      </c>
      <c r="I292" s="66">
        <f t="shared" si="70"/>
        <v>0</v>
      </c>
      <c r="J292" s="66">
        <f t="shared" si="70"/>
        <v>0</v>
      </c>
      <c r="K292" s="66">
        <f t="shared" si="70"/>
        <v>0</v>
      </c>
      <c r="L292" s="66">
        <f t="shared" si="70"/>
        <v>0</v>
      </c>
      <c r="M292" s="61">
        <f t="shared" si="70"/>
        <v>0</v>
      </c>
      <c r="N292" s="66">
        <f t="shared" si="70"/>
        <v>14</v>
      </c>
      <c r="O292" s="66">
        <f t="shared" si="70"/>
        <v>2</v>
      </c>
      <c r="P292" s="66">
        <f t="shared" si="70"/>
        <v>0</v>
      </c>
      <c r="Q292" s="66">
        <f t="shared" si="70"/>
        <v>0</v>
      </c>
      <c r="R292" s="61">
        <f t="shared" si="70"/>
        <v>16</v>
      </c>
      <c r="S292" s="66">
        <f t="shared" si="70"/>
        <v>0</v>
      </c>
      <c r="T292" s="66">
        <f t="shared" si="70"/>
        <v>0</v>
      </c>
      <c r="U292" s="66">
        <f t="shared" si="70"/>
        <v>0</v>
      </c>
      <c r="V292" s="66">
        <f t="shared" si="70"/>
        <v>0</v>
      </c>
      <c r="W292" s="61">
        <f t="shared" si="70"/>
        <v>0</v>
      </c>
      <c r="X292" s="66">
        <f t="shared" si="70"/>
        <v>0</v>
      </c>
      <c r="Y292" s="66">
        <f t="shared" si="70"/>
        <v>0</v>
      </c>
      <c r="Z292" s="66">
        <f t="shared" si="70"/>
        <v>0</v>
      </c>
      <c r="AA292" s="66">
        <f t="shared" si="70"/>
        <v>0</v>
      </c>
      <c r="AB292" s="61">
        <f t="shared" si="70"/>
        <v>0</v>
      </c>
      <c r="AC292" s="66">
        <f t="shared" si="70"/>
        <v>7</v>
      </c>
      <c r="AD292" s="66">
        <f t="shared" si="70"/>
        <v>0</v>
      </c>
      <c r="AE292" s="66">
        <f t="shared" si="70"/>
        <v>0</v>
      </c>
      <c r="AF292" s="66">
        <f t="shared" si="70"/>
        <v>0</v>
      </c>
      <c r="AG292" s="61">
        <f t="shared" si="70"/>
        <v>7</v>
      </c>
      <c r="AH292" s="66">
        <f t="shared" si="70"/>
        <v>7</v>
      </c>
      <c r="AI292" s="66">
        <f t="shared" si="70"/>
        <v>0</v>
      </c>
      <c r="AJ292" s="66">
        <f t="shared" si="70"/>
        <v>0</v>
      </c>
      <c r="AK292" s="66">
        <f t="shared" si="70"/>
        <v>0</v>
      </c>
      <c r="AL292" s="61">
        <f t="shared" si="70"/>
        <v>7</v>
      </c>
      <c r="AM292" s="68">
        <f t="shared" si="62"/>
        <v>57</v>
      </c>
    </row>
    <row r="293" spans="1:39" hidden="1" x14ac:dyDescent="0.35">
      <c r="A293" s="59" t="s">
        <v>333</v>
      </c>
      <c r="B293" s="54">
        <v>4</v>
      </c>
      <c r="C293" s="60" t="s">
        <v>225</v>
      </c>
      <c r="D293" s="60"/>
      <c r="E293" s="60"/>
      <c r="F293" s="60"/>
      <c r="G293" s="60"/>
      <c r="H293" s="61">
        <f>SUM(D293:G293)</f>
        <v>0</v>
      </c>
      <c r="I293" s="60"/>
      <c r="J293" s="60"/>
      <c r="K293" s="60"/>
      <c r="L293" s="60"/>
      <c r="M293" s="61">
        <f>SUM(I293:L293)</f>
        <v>0</v>
      </c>
      <c r="N293" s="60"/>
      <c r="O293" s="60"/>
      <c r="P293" s="60"/>
      <c r="Q293" s="60"/>
      <c r="R293" s="61">
        <f>SUM(N293:Q293)</f>
        <v>0</v>
      </c>
      <c r="S293" s="60"/>
      <c r="T293" s="60"/>
      <c r="U293" s="60"/>
      <c r="V293" s="60"/>
      <c r="W293" s="61">
        <f>SUM(S293:V293)</f>
        <v>0</v>
      </c>
      <c r="X293" s="60"/>
      <c r="Y293" s="60"/>
      <c r="Z293" s="60"/>
      <c r="AA293" s="60"/>
      <c r="AB293" s="61">
        <f>SUM(X293:AA293)</f>
        <v>0</v>
      </c>
      <c r="AC293" s="60">
        <v>1</v>
      </c>
      <c r="AD293" s="60"/>
      <c r="AE293" s="60"/>
      <c r="AF293" s="60"/>
      <c r="AG293" s="61">
        <f>SUM(AC293:AF293)</f>
        <v>1</v>
      </c>
      <c r="AH293" s="60"/>
      <c r="AI293" s="60"/>
      <c r="AJ293" s="60"/>
      <c r="AK293" s="60"/>
      <c r="AL293" s="61">
        <f>SUM(AH293:AK293)</f>
        <v>0</v>
      </c>
      <c r="AM293" s="68">
        <f t="shared" si="62"/>
        <v>1</v>
      </c>
    </row>
    <row r="294" spans="1:39" hidden="1" x14ac:dyDescent="0.35">
      <c r="A294" s="111" t="s">
        <v>238</v>
      </c>
      <c r="B294" s="54"/>
      <c r="C294" s="63" t="s">
        <v>227</v>
      </c>
      <c r="D294" s="63"/>
      <c r="E294" s="63"/>
      <c r="F294" s="63"/>
      <c r="G294" s="63"/>
      <c r="H294" s="61">
        <f>SUM(D294:G294)</f>
        <v>0</v>
      </c>
      <c r="I294" s="63"/>
      <c r="J294" s="63"/>
      <c r="K294" s="63"/>
      <c r="L294" s="63"/>
      <c r="M294" s="61">
        <f>SUM(I294:L294)</f>
        <v>0</v>
      </c>
      <c r="N294" s="63"/>
      <c r="O294" s="63"/>
      <c r="P294" s="63"/>
      <c r="Q294" s="63"/>
      <c r="R294" s="61">
        <f>SUM(N294:Q294)</f>
        <v>0</v>
      </c>
      <c r="S294" s="63"/>
      <c r="T294" s="63"/>
      <c r="U294" s="63"/>
      <c r="V294" s="63"/>
      <c r="W294" s="61">
        <f>SUM(S294:V294)</f>
        <v>0</v>
      </c>
      <c r="X294" s="63"/>
      <c r="Y294" s="63"/>
      <c r="Z294" s="63"/>
      <c r="AA294" s="63"/>
      <c r="AB294" s="61">
        <f>SUM(X294:AA294)</f>
        <v>0</v>
      </c>
      <c r="AC294" s="63"/>
      <c r="AD294" s="63"/>
      <c r="AE294" s="63"/>
      <c r="AF294" s="63"/>
      <c r="AG294" s="61">
        <f>SUM(AC294:AF294)</f>
        <v>0</v>
      </c>
      <c r="AH294" s="63"/>
      <c r="AI294" s="63"/>
      <c r="AJ294" s="63"/>
      <c r="AK294" s="63"/>
      <c r="AL294" s="61">
        <f>SUM(AH294:AK294)</f>
        <v>0</v>
      </c>
      <c r="AM294" s="68">
        <f t="shared" si="62"/>
        <v>0</v>
      </c>
    </row>
    <row r="295" spans="1:39" hidden="1" x14ac:dyDescent="0.35">
      <c r="A295" s="111"/>
      <c r="B295" s="54"/>
      <c r="C295" s="60" t="s">
        <v>228</v>
      </c>
      <c r="D295" s="60"/>
      <c r="E295" s="60"/>
      <c r="F295" s="60"/>
      <c r="G295" s="60"/>
      <c r="H295" s="61">
        <f>SUM(D295:G295)</f>
        <v>0</v>
      </c>
      <c r="I295" s="60"/>
      <c r="J295" s="60"/>
      <c r="K295" s="60"/>
      <c r="L295" s="60"/>
      <c r="M295" s="61">
        <f>SUM(I295:L295)</f>
        <v>0</v>
      </c>
      <c r="N295" s="60"/>
      <c r="O295" s="60"/>
      <c r="P295" s="60"/>
      <c r="Q295" s="60"/>
      <c r="R295" s="61">
        <f>SUM(N295:Q295)</f>
        <v>0</v>
      </c>
      <c r="S295" s="60"/>
      <c r="T295" s="60"/>
      <c r="U295" s="60"/>
      <c r="V295" s="60"/>
      <c r="W295" s="61">
        <f>SUM(S295:V295)</f>
        <v>0</v>
      </c>
      <c r="X295" s="60"/>
      <c r="Y295" s="60"/>
      <c r="Z295" s="60"/>
      <c r="AA295" s="60"/>
      <c r="AB295" s="61">
        <f>SUM(X295:AA295)</f>
        <v>0</v>
      </c>
      <c r="AC295" s="60"/>
      <c r="AD295" s="60"/>
      <c r="AE295" s="60"/>
      <c r="AF295" s="60"/>
      <c r="AG295" s="61">
        <f>SUM(AC295:AF295)</f>
        <v>0</v>
      </c>
      <c r="AH295" s="60"/>
      <c r="AI295" s="60"/>
      <c r="AJ295" s="60"/>
      <c r="AK295" s="60"/>
      <c r="AL295" s="61">
        <f>SUM(AH295:AK295)</f>
        <v>0</v>
      </c>
      <c r="AM295" s="68">
        <f t="shared" si="62"/>
        <v>0</v>
      </c>
    </row>
    <row r="296" spans="1:39" hidden="1" x14ac:dyDescent="0.35">
      <c r="A296" s="111"/>
      <c r="B296" s="54"/>
      <c r="C296" s="63" t="s">
        <v>235</v>
      </c>
      <c r="D296" s="63"/>
      <c r="E296" s="63"/>
      <c r="F296" s="63"/>
      <c r="G296" s="63"/>
      <c r="H296" s="61">
        <f>SUM(D296:G296)</f>
        <v>0</v>
      </c>
      <c r="I296" s="63"/>
      <c r="J296" s="63"/>
      <c r="K296" s="63"/>
      <c r="L296" s="63"/>
      <c r="M296" s="61">
        <f>SUM(I296:L296)</f>
        <v>0</v>
      </c>
      <c r="N296" s="63"/>
      <c r="O296" s="63"/>
      <c r="P296" s="63"/>
      <c r="Q296" s="63"/>
      <c r="R296" s="61">
        <f>SUM(N296:Q296)</f>
        <v>0</v>
      </c>
      <c r="S296" s="63"/>
      <c r="T296" s="63"/>
      <c r="U296" s="63"/>
      <c r="V296" s="63"/>
      <c r="W296" s="61">
        <f>SUM(S296:V296)</f>
        <v>0</v>
      </c>
      <c r="X296" s="63"/>
      <c r="Y296" s="63"/>
      <c r="Z296" s="63"/>
      <c r="AA296" s="63"/>
      <c r="AB296" s="61">
        <f>SUM(X296:AA296)</f>
        <v>0</v>
      </c>
      <c r="AC296" s="63">
        <v>1</v>
      </c>
      <c r="AD296" s="63"/>
      <c r="AE296" s="63"/>
      <c r="AF296" s="63"/>
      <c r="AG296" s="61">
        <f>SUM(AC296:AF296)</f>
        <v>1</v>
      </c>
      <c r="AH296" s="63"/>
      <c r="AI296" s="63"/>
      <c r="AJ296" s="63"/>
      <c r="AK296" s="63"/>
      <c r="AL296" s="61">
        <f>SUM(AH296:AK296)</f>
        <v>0</v>
      </c>
      <c r="AM296" s="68">
        <f t="shared" si="62"/>
        <v>1</v>
      </c>
    </row>
    <row r="297" spans="1:39" x14ac:dyDescent="0.35">
      <c r="A297" s="66" t="s">
        <v>333</v>
      </c>
      <c r="B297" s="67">
        <v>4</v>
      </c>
      <c r="C297" s="66"/>
      <c r="D297" s="66">
        <f t="shared" ref="D297:AL297" si="71">SUM(D293:D296)</f>
        <v>0</v>
      </c>
      <c r="E297" s="66">
        <f t="shared" si="71"/>
        <v>0</v>
      </c>
      <c r="F297" s="66">
        <f t="shared" si="71"/>
        <v>0</v>
      </c>
      <c r="G297" s="66">
        <f t="shared" si="71"/>
        <v>0</v>
      </c>
      <c r="H297" s="61">
        <f t="shared" si="71"/>
        <v>0</v>
      </c>
      <c r="I297" s="66">
        <f t="shared" si="71"/>
        <v>0</v>
      </c>
      <c r="J297" s="66">
        <f t="shared" si="71"/>
        <v>0</v>
      </c>
      <c r="K297" s="66">
        <f t="shared" si="71"/>
        <v>0</v>
      </c>
      <c r="L297" s="66">
        <f t="shared" si="71"/>
        <v>0</v>
      </c>
      <c r="M297" s="61">
        <f t="shared" si="71"/>
        <v>0</v>
      </c>
      <c r="N297" s="66">
        <f t="shared" si="71"/>
        <v>0</v>
      </c>
      <c r="O297" s="66">
        <f t="shared" si="71"/>
        <v>0</v>
      </c>
      <c r="P297" s="66">
        <f t="shared" si="71"/>
        <v>0</v>
      </c>
      <c r="Q297" s="66">
        <f t="shared" si="71"/>
        <v>0</v>
      </c>
      <c r="R297" s="61">
        <f t="shared" si="71"/>
        <v>0</v>
      </c>
      <c r="S297" s="66">
        <f t="shared" si="71"/>
        <v>0</v>
      </c>
      <c r="T297" s="66">
        <f t="shared" si="71"/>
        <v>0</v>
      </c>
      <c r="U297" s="66">
        <f t="shared" si="71"/>
        <v>0</v>
      </c>
      <c r="V297" s="66">
        <f t="shared" si="71"/>
        <v>0</v>
      </c>
      <c r="W297" s="61">
        <f t="shared" si="71"/>
        <v>0</v>
      </c>
      <c r="X297" s="66">
        <f t="shared" si="71"/>
        <v>0</v>
      </c>
      <c r="Y297" s="66">
        <f t="shared" si="71"/>
        <v>0</v>
      </c>
      <c r="Z297" s="66">
        <f t="shared" si="71"/>
        <v>0</v>
      </c>
      <c r="AA297" s="66">
        <f t="shared" si="71"/>
        <v>0</v>
      </c>
      <c r="AB297" s="61">
        <f t="shared" si="71"/>
        <v>0</v>
      </c>
      <c r="AC297" s="66">
        <f t="shared" si="71"/>
        <v>2</v>
      </c>
      <c r="AD297" s="66">
        <f t="shared" si="71"/>
        <v>0</v>
      </c>
      <c r="AE297" s="66">
        <f t="shared" si="71"/>
        <v>0</v>
      </c>
      <c r="AF297" s="66">
        <f t="shared" si="71"/>
        <v>0</v>
      </c>
      <c r="AG297" s="61">
        <f t="shared" si="71"/>
        <v>2</v>
      </c>
      <c r="AH297" s="66">
        <f t="shared" si="71"/>
        <v>0</v>
      </c>
      <c r="AI297" s="66">
        <f t="shared" si="71"/>
        <v>0</v>
      </c>
      <c r="AJ297" s="66">
        <f t="shared" si="71"/>
        <v>0</v>
      </c>
      <c r="AK297" s="66">
        <f t="shared" si="71"/>
        <v>0</v>
      </c>
      <c r="AL297" s="61">
        <f t="shared" si="71"/>
        <v>0</v>
      </c>
      <c r="AM297" s="68">
        <f t="shared" si="62"/>
        <v>2</v>
      </c>
    </row>
    <row r="298" spans="1:39" hidden="1" x14ac:dyDescent="0.35">
      <c r="A298" s="59" t="s">
        <v>334</v>
      </c>
      <c r="B298" s="54" t="s">
        <v>261</v>
      </c>
      <c r="C298" s="60" t="s">
        <v>225</v>
      </c>
      <c r="D298" s="60">
        <v>6</v>
      </c>
      <c r="E298" s="60"/>
      <c r="F298" s="60"/>
      <c r="G298" s="60"/>
      <c r="H298" s="61">
        <f>SUM(D298:G298)</f>
        <v>6</v>
      </c>
      <c r="I298" s="60"/>
      <c r="J298" s="60"/>
      <c r="K298" s="60"/>
      <c r="L298" s="60"/>
      <c r="M298" s="61">
        <f>SUM(I298:L298)</f>
        <v>0</v>
      </c>
      <c r="N298" s="60">
        <v>1</v>
      </c>
      <c r="O298" s="60"/>
      <c r="P298" s="60"/>
      <c r="Q298" s="60"/>
      <c r="R298" s="61">
        <f>SUM(N298:Q298)</f>
        <v>1</v>
      </c>
      <c r="S298" s="60"/>
      <c r="T298" s="60"/>
      <c r="U298" s="60"/>
      <c r="V298" s="60"/>
      <c r="W298" s="61">
        <f>SUM(S298:V298)</f>
        <v>0</v>
      </c>
      <c r="X298" s="60"/>
      <c r="Y298" s="60"/>
      <c r="Z298" s="60"/>
      <c r="AA298" s="60"/>
      <c r="AB298" s="61">
        <f>SUM(X298:AA298)</f>
        <v>0</v>
      </c>
      <c r="AC298" s="60"/>
      <c r="AD298" s="60"/>
      <c r="AE298" s="60"/>
      <c r="AF298" s="60"/>
      <c r="AG298" s="61">
        <f>SUM(AC298:AF298)</f>
        <v>0</v>
      </c>
      <c r="AH298" s="60"/>
      <c r="AI298" s="60"/>
      <c r="AJ298" s="60"/>
      <c r="AK298" s="60"/>
      <c r="AL298" s="61">
        <f>SUM(AH298:AK298)</f>
        <v>0</v>
      </c>
      <c r="AM298" s="68">
        <f t="shared" si="62"/>
        <v>7</v>
      </c>
    </row>
    <row r="299" spans="1:39" hidden="1" x14ac:dyDescent="0.35">
      <c r="A299" s="111" t="s">
        <v>399</v>
      </c>
      <c r="B299" s="54"/>
      <c r="C299" s="63" t="s">
        <v>227</v>
      </c>
      <c r="D299" s="63">
        <v>5</v>
      </c>
      <c r="E299" s="63">
        <v>1</v>
      </c>
      <c r="F299" s="63"/>
      <c r="G299" s="63"/>
      <c r="H299" s="61">
        <f>SUM(D299:G299)</f>
        <v>6</v>
      </c>
      <c r="I299" s="63"/>
      <c r="J299" s="63"/>
      <c r="K299" s="63"/>
      <c r="L299" s="63"/>
      <c r="M299" s="61">
        <f>SUM(I299:L299)</f>
        <v>0</v>
      </c>
      <c r="N299" s="63"/>
      <c r="O299" s="63"/>
      <c r="P299" s="63"/>
      <c r="Q299" s="63"/>
      <c r="R299" s="61">
        <f>SUM(N299:Q299)</f>
        <v>0</v>
      </c>
      <c r="S299" s="63"/>
      <c r="T299" s="63"/>
      <c r="U299" s="63"/>
      <c r="V299" s="63"/>
      <c r="W299" s="61">
        <f>SUM(S299:V299)</f>
        <v>0</v>
      </c>
      <c r="X299" s="63"/>
      <c r="Y299" s="63"/>
      <c r="Z299" s="63"/>
      <c r="AA299" s="63"/>
      <c r="AB299" s="61">
        <f>SUM(X299:AA299)</f>
        <v>0</v>
      </c>
      <c r="AC299" s="63">
        <v>1</v>
      </c>
      <c r="AD299" s="63"/>
      <c r="AE299" s="63"/>
      <c r="AF299" s="63"/>
      <c r="AG299" s="61">
        <f>SUM(AC299:AF299)</f>
        <v>1</v>
      </c>
      <c r="AH299" s="63">
        <v>1</v>
      </c>
      <c r="AI299" s="63"/>
      <c r="AJ299" s="63"/>
      <c r="AK299" s="63"/>
      <c r="AL299" s="61">
        <f>SUM(AH299:AK299)</f>
        <v>1</v>
      </c>
      <c r="AM299" s="68">
        <f t="shared" si="62"/>
        <v>8</v>
      </c>
    </row>
    <row r="300" spans="1:39" hidden="1" x14ac:dyDescent="0.35">
      <c r="A300" s="111"/>
      <c r="B300" s="54"/>
      <c r="C300" s="60" t="s">
        <v>228</v>
      </c>
      <c r="D300" s="60">
        <v>11</v>
      </c>
      <c r="E300" s="60"/>
      <c r="F300" s="60"/>
      <c r="G300" s="60"/>
      <c r="H300" s="61">
        <f>SUM(D300:G300)</f>
        <v>11</v>
      </c>
      <c r="I300" s="60"/>
      <c r="J300" s="60"/>
      <c r="K300" s="60"/>
      <c r="L300" s="60"/>
      <c r="M300" s="61">
        <f>SUM(I300:L300)</f>
        <v>0</v>
      </c>
      <c r="N300" s="60">
        <v>1</v>
      </c>
      <c r="O300" s="60"/>
      <c r="P300" s="60"/>
      <c r="Q300" s="60"/>
      <c r="R300" s="61">
        <f>SUM(N300:Q300)</f>
        <v>1</v>
      </c>
      <c r="S300" s="60"/>
      <c r="T300" s="60"/>
      <c r="U300" s="60"/>
      <c r="V300" s="60"/>
      <c r="W300" s="61">
        <f>SUM(S300:V300)</f>
        <v>0</v>
      </c>
      <c r="X300" s="60"/>
      <c r="Y300" s="60"/>
      <c r="Z300" s="60"/>
      <c r="AA300" s="60"/>
      <c r="AB300" s="61">
        <f>SUM(X300:AA300)</f>
        <v>0</v>
      </c>
      <c r="AC300" s="60"/>
      <c r="AD300" s="60"/>
      <c r="AE300" s="60"/>
      <c r="AF300" s="60"/>
      <c r="AG300" s="61">
        <f>SUM(AC300:AF300)</f>
        <v>0</v>
      </c>
      <c r="AH300" s="60">
        <v>6</v>
      </c>
      <c r="AI300" s="60"/>
      <c r="AJ300" s="60"/>
      <c r="AK300" s="60"/>
      <c r="AL300" s="61">
        <f>SUM(AH300:AK300)</f>
        <v>6</v>
      </c>
      <c r="AM300" s="68">
        <f t="shared" si="62"/>
        <v>18</v>
      </c>
    </row>
    <row r="301" spans="1:39" hidden="1" x14ac:dyDescent="0.35">
      <c r="A301" s="111"/>
      <c r="B301" s="54"/>
      <c r="C301" s="63" t="s">
        <v>235</v>
      </c>
      <c r="D301" s="63">
        <v>2</v>
      </c>
      <c r="E301" s="63"/>
      <c r="F301" s="63"/>
      <c r="G301" s="63"/>
      <c r="H301" s="61">
        <f>SUM(D301:G301)</f>
        <v>2</v>
      </c>
      <c r="I301" s="63"/>
      <c r="J301" s="63"/>
      <c r="K301" s="63"/>
      <c r="L301" s="63"/>
      <c r="M301" s="61">
        <f>SUM(I301:L301)</f>
        <v>0</v>
      </c>
      <c r="N301" s="63">
        <v>1</v>
      </c>
      <c r="O301" s="63"/>
      <c r="P301" s="63"/>
      <c r="Q301" s="63"/>
      <c r="R301" s="61">
        <f>SUM(N301:Q301)</f>
        <v>1</v>
      </c>
      <c r="S301" s="63"/>
      <c r="T301" s="63"/>
      <c r="U301" s="63"/>
      <c r="V301" s="63"/>
      <c r="W301" s="61">
        <f>SUM(S301:V301)</f>
        <v>0</v>
      </c>
      <c r="X301" s="63"/>
      <c r="Y301" s="63"/>
      <c r="Z301" s="63"/>
      <c r="AA301" s="63"/>
      <c r="AB301" s="61">
        <f>SUM(X301:AA301)</f>
        <v>0</v>
      </c>
      <c r="AC301" s="63"/>
      <c r="AD301" s="63"/>
      <c r="AE301" s="63"/>
      <c r="AF301" s="63"/>
      <c r="AG301" s="61">
        <f>SUM(AC301:AF301)</f>
        <v>0</v>
      </c>
      <c r="AH301" s="63">
        <v>2</v>
      </c>
      <c r="AI301" s="63"/>
      <c r="AJ301" s="63"/>
      <c r="AK301" s="63"/>
      <c r="AL301" s="61">
        <f>SUM(AH301:AK301)</f>
        <v>2</v>
      </c>
      <c r="AM301" s="68">
        <f t="shared" si="62"/>
        <v>5</v>
      </c>
    </row>
    <row r="302" spans="1:39" x14ac:dyDescent="0.35">
      <c r="A302" s="66" t="s">
        <v>334</v>
      </c>
      <c r="B302" s="67" t="s">
        <v>261</v>
      </c>
      <c r="C302" s="66"/>
      <c r="D302" s="66">
        <f t="shared" ref="D302:AD302" si="72">SUM(D298:D301)</f>
        <v>24</v>
      </c>
      <c r="E302" s="66">
        <f t="shared" si="72"/>
        <v>1</v>
      </c>
      <c r="F302" s="66">
        <f t="shared" si="72"/>
        <v>0</v>
      </c>
      <c r="G302" s="66">
        <f t="shared" si="72"/>
        <v>0</v>
      </c>
      <c r="H302" s="61">
        <f t="shared" si="72"/>
        <v>25</v>
      </c>
      <c r="I302" s="66">
        <f t="shared" si="72"/>
        <v>0</v>
      </c>
      <c r="J302" s="66">
        <f t="shared" si="72"/>
        <v>0</v>
      </c>
      <c r="K302" s="66">
        <f t="shared" si="72"/>
        <v>0</v>
      </c>
      <c r="L302" s="66">
        <f t="shared" si="72"/>
        <v>0</v>
      </c>
      <c r="M302" s="61">
        <f t="shared" si="72"/>
        <v>0</v>
      </c>
      <c r="N302" s="66">
        <f t="shared" si="72"/>
        <v>3</v>
      </c>
      <c r="O302" s="66">
        <f t="shared" si="72"/>
        <v>0</v>
      </c>
      <c r="P302" s="66">
        <f t="shared" si="72"/>
        <v>0</v>
      </c>
      <c r="Q302" s="66">
        <f t="shared" si="72"/>
        <v>0</v>
      </c>
      <c r="R302" s="61">
        <f t="shared" si="72"/>
        <v>3</v>
      </c>
      <c r="S302" s="66">
        <f t="shared" si="72"/>
        <v>0</v>
      </c>
      <c r="T302" s="66">
        <f t="shared" si="72"/>
        <v>0</v>
      </c>
      <c r="U302" s="66">
        <f t="shared" si="72"/>
        <v>0</v>
      </c>
      <c r="V302" s="66">
        <f t="shared" si="72"/>
        <v>0</v>
      </c>
      <c r="W302" s="61">
        <f t="shared" si="72"/>
        <v>0</v>
      </c>
      <c r="X302" s="66">
        <f t="shared" si="72"/>
        <v>0</v>
      </c>
      <c r="Y302" s="66">
        <f t="shared" si="72"/>
        <v>0</v>
      </c>
      <c r="Z302" s="66">
        <f t="shared" si="72"/>
        <v>0</v>
      </c>
      <c r="AA302" s="66">
        <f t="shared" si="72"/>
        <v>0</v>
      </c>
      <c r="AB302" s="61">
        <f t="shared" si="72"/>
        <v>0</v>
      </c>
      <c r="AC302" s="66">
        <f t="shared" si="72"/>
        <v>1</v>
      </c>
      <c r="AD302" s="66">
        <f t="shared" si="72"/>
        <v>0</v>
      </c>
      <c r="AE302" s="66"/>
      <c r="AF302" s="66">
        <f t="shared" ref="AF302:AL302" si="73">SUM(AF298:AF301)</f>
        <v>0</v>
      </c>
      <c r="AG302" s="61">
        <f t="shared" si="73"/>
        <v>1</v>
      </c>
      <c r="AH302" s="66">
        <f t="shared" si="73"/>
        <v>9</v>
      </c>
      <c r="AI302" s="66">
        <f t="shared" si="73"/>
        <v>0</v>
      </c>
      <c r="AJ302" s="66">
        <f t="shared" si="73"/>
        <v>0</v>
      </c>
      <c r="AK302" s="66">
        <f t="shared" si="73"/>
        <v>0</v>
      </c>
      <c r="AL302" s="61">
        <f t="shared" si="73"/>
        <v>9</v>
      </c>
      <c r="AM302" s="68">
        <f t="shared" si="62"/>
        <v>38</v>
      </c>
    </row>
    <row r="303" spans="1:39" hidden="1" x14ac:dyDescent="0.35">
      <c r="A303" s="59" t="s">
        <v>335</v>
      </c>
      <c r="B303" s="54" t="s">
        <v>255</v>
      </c>
      <c r="C303" s="60" t="s">
        <v>225</v>
      </c>
      <c r="D303" s="60"/>
      <c r="E303" s="60"/>
      <c r="F303" s="60"/>
      <c r="G303" s="60"/>
      <c r="H303" s="61">
        <f>SUM(D303:G303)</f>
        <v>0</v>
      </c>
      <c r="I303" s="60"/>
      <c r="J303" s="60"/>
      <c r="K303" s="60"/>
      <c r="L303" s="60"/>
      <c r="M303" s="61">
        <f>SUM(I303:L303)</f>
        <v>0</v>
      </c>
      <c r="N303" s="60"/>
      <c r="O303" s="60"/>
      <c r="P303" s="60"/>
      <c r="Q303" s="60"/>
      <c r="R303" s="61">
        <f>SUM(N303:Q303)</f>
        <v>0</v>
      </c>
      <c r="S303" s="60"/>
      <c r="T303" s="60"/>
      <c r="U303" s="60"/>
      <c r="V303" s="60"/>
      <c r="W303" s="61">
        <f>SUM(S303:V303)</f>
        <v>0</v>
      </c>
      <c r="X303" s="60"/>
      <c r="Y303" s="60"/>
      <c r="Z303" s="60"/>
      <c r="AA303" s="60"/>
      <c r="AB303" s="61">
        <f>SUM(X303:AA303)</f>
        <v>0</v>
      </c>
      <c r="AC303" s="60"/>
      <c r="AD303" s="60"/>
      <c r="AE303" s="60"/>
      <c r="AF303" s="60"/>
      <c r="AG303" s="61">
        <f>SUM(AC303:AF303)</f>
        <v>0</v>
      </c>
      <c r="AH303" s="60"/>
      <c r="AI303" s="60"/>
      <c r="AJ303" s="60"/>
      <c r="AK303" s="60"/>
      <c r="AL303" s="61">
        <f>SUM(AH303:AK303)</f>
        <v>0</v>
      </c>
      <c r="AM303" s="68">
        <f t="shared" si="62"/>
        <v>0</v>
      </c>
    </row>
    <row r="304" spans="1:39" hidden="1" x14ac:dyDescent="0.35">
      <c r="A304" s="111" t="s">
        <v>254</v>
      </c>
      <c r="B304" s="54"/>
      <c r="C304" s="63" t="s">
        <v>227</v>
      </c>
      <c r="D304" s="63"/>
      <c r="E304" s="63"/>
      <c r="F304" s="63"/>
      <c r="G304" s="63"/>
      <c r="H304" s="61">
        <f>SUM(D304:G304)</f>
        <v>0</v>
      </c>
      <c r="I304" s="63"/>
      <c r="J304" s="63"/>
      <c r="K304" s="63"/>
      <c r="L304" s="63"/>
      <c r="M304" s="61">
        <f>SUM(I304:L304)</f>
        <v>0</v>
      </c>
      <c r="N304" s="63"/>
      <c r="O304" s="63"/>
      <c r="P304" s="63"/>
      <c r="Q304" s="63"/>
      <c r="R304" s="61">
        <f>SUM(N304:Q304)</f>
        <v>0</v>
      </c>
      <c r="S304" s="63"/>
      <c r="T304" s="63"/>
      <c r="U304" s="63"/>
      <c r="V304" s="63"/>
      <c r="W304" s="61">
        <f>SUM(S304:V304)</f>
        <v>0</v>
      </c>
      <c r="X304" s="63"/>
      <c r="Y304" s="63"/>
      <c r="Z304" s="63"/>
      <c r="AA304" s="63"/>
      <c r="AB304" s="61">
        <f>SUM(X304:AA304)</f>
        <v>0</v>
      </c>
      <c r="AC304" s="63"/>
      <c r="AD304" s="63"/>
      <c r="AE304" s="63"/>
      <c r="AF304" s="63"/>
      <c r="AG304" s="61">
        <f>SUM(AC304:AF304)</f>
        <v>0</v>
      </c>
      <c r="AH304" s="63"/>
      <c r="AI304" s="63"/>
      <c r="AJ304" s="63"/>
      <c r="AK304" s="63"/>
      <c r="AL304" s="61">
        <f>SUM(AH304:AK304)</f>
        <v>0</v>
      </c>
      <c r="AM304" s="68">
        <f t="shared" si="62"/>
        <v>0</v>
      </c>
    </row>
    <row r="305" spans="1:39" hidden="1" x14ac:dyDescent="0.35">
      <c r="A305" s="111"/>
      <c r="B305" s="54"/>
      <c r="C305" s="60" t="s">
        <v>228</v>
      </c>
      <c r="D305" s="60"/>
      <c r="E305" s="60"/>
      <c r="F305" s="60"/>
      <c r="G305" s="60"/>
      <c r="H305" s="61">
        <f>SUM(D305:G305)</f>
        <v>0</v>
      </c>
      <c r="I305" s="60"/>
      <c r="J305" s="60"/>
      <c r="K305" s="60"/>
      <c r="L305" s="60"/>
      <c r="M305" s="61">
        <f>SUM(I305:L305)</f>
        <v>0</v>
      </c>
      <c r="N305" s="60"/>
      <c r="O305" s="60"/>
      <c r="P305" s="60"/>
      <c r="Q305" s="60"/>
      <c r="R305" s="61">
        <f>SUM(N305:Q305)</f>
        <v>0</v>
      </c>
      <c r="S305" s="60"/>
      <c r="T305" s="60"/>
      <c r="U305" s="60"/>
      <c r="V305" s="60"/>
      <c r="W305" s="61">
        <f>SUM(S305:V305)</f>
        <v>0</v>
      </c>
      <c r="X305" s="60"/>
      <c r="Y305" s="60"/>
      <c r="Z305" s="60"/>
      <c r="AA305" s="60"/>
      <c r="AB305" s="61">
        <f>SUM(X305:AA305)</f>
        <v>0</v>
      </c>
      <c r="AC305" s="60"/>
      <c r="AD305" s="60"/>
      <c r="AE305" s="60"/>
      <c r="AF305" s="60"/>
      <c r="AG305" s="61">
        <f>SUM(AC305:AF305)</f>
        <v>0</v>
      </c>
      <c r="AH305" s="60"/>
      <c r="AI305" s="60"/>
      <c r="AJ305" s="60"/>
      <c r="AK305" s="60"/>
      <c r="AL305" s="61">
        <f>SUM(AH305:AK305)</f>
        <v>0</v>
      </c>
      <c r="AM305" s="68">
        <f t="shared" si="62"/>
        <v>0</v>
      </c>
    </row>
    <row r="306" spans="1:39" hidden="1" x14ac:dyDescent="0.35">
      <c r="A306" s="111"/>
      <c r="B306" s="54"/>
      <c r="C306" s="63" t="s">
        <v>235</v>
      </c>
      <c r="D306" s="63"/>
      <c r="E306" s="63"/>
      <c r="F306" s="63"/>
      <c r="G306" s="63"/>
      <c r="H306" s="61">
        <f>SUM(D306:G306)</f>
        <v>0</v>
      </c>
      <c r="I306" s="63"/>
      <c r="J306" s="63"/>
      <c r="K306" s="63"/>
      <c r="L306" s="63"/>
      <c r="M306" s="61">
        <f>SUM(I306:L306)</f>
        <v>0</v>
      </c>
      <c r="N306" s="63"/>
      <c r="O306" s="63"/>
      <c r="P306" s="63"/>
      <c r="Q306" s="63"/>
      <c r="R306" s="61">
        <f>SUM(N306:Q306)</f>
        <v>0</v>
      </c>
      <c r="S306" s="63"/>
      <c r="T306" s="63"/>
      <c r="U306" s="63"/>
      <c r="V306" s="63"/>
      <c r="W306" s="61">
        <f>SUM(S306:V306)</f>
        <v>0</v>
      </c>
      <c r="X306" s="63"/>
      <c r="Y306" s="63"/>
      <c r="Z306" s="63"/>
      <c r="AA306" s="63"/>
      <c r="AB306" s="61">
        <f>SUM(X306:AA306)</f>
        <v>0</v>
      </c>
      <c r="AC306" s="63"/>
      <c r="AD306" s="63"/>
      <c r="AE306" s="63"/>
      <c r="AF306" s="63"/>
      <c r="AG306" s="61">
        <f>SUM(AC306:AF306)</f>
        <v>0</v>
      </c>
      <c r="AH306" s="63"/>
      <c r="AI306" s="63"/>
      <c r="AJ306" s="63"/>
      <c r="AK306" s="63"/>
      <c r="AL306" s="61">
        <f>SUM(AH306:AK306)</f>
        <v>0</v>
      </c>
      <c r="AM306" s="68">
        <f t="shared" si="62"/>
        <v>0</v>
      </c>
    </row>
    <row r="307" spans="1:39" x14ac:dyDescent="0.35">
      <c r="A307" s="66" t="s">
        <v>335</v>
      </c>
      <c r="B307" s="67" t="s">
        <v>255</v>
      </c>
      <c r="C307" s="66"/>
      <c r="D307" s="66">
        <f t="shared" ref="D307:AD307" si="74">SUM(D303:D306)</f>
        <v>0</v>
      </c>
      <c r="E307" s="66">
        <f t="shared" si="74"/>
        <v>0</v>
      </c>
      <c r="F307" s="66">
        <f t="shared" si="74"/>
        <v>0</v>
      </c>
      <c r="G307" s="66">
        <f t="shared" si="74"/>
        <v>0</v>
      </c>
      <c r="H307" s="61">
        <f t="shared" si="74"/>
        <v>0</v>
      </c>
      <c r="I307" s="66">
        <f t="shared" si="74"/>
        <v>0</v>
      </c>
      <c r="J307" s="66">
        <f t="shared" si="74"/>
        <v>0</v>
      </c>
      <c r="K307" s="66">
        <f t="shared" si="74"/>
        <v>0</v>
      </c>
      <c r="L307" s="66">
        <f t="shared" si="74"/>
        <v>0</v>
      </c>
      <c r="M307" s="61">
        <f t="shared" si="74"/>
        <v>0</v>
      </c>
      <c r="N307" s="66">
        <f t="shared" si="74"/>
        <v>0</v>
      </c>
      <c r="O307" s="66">
        <f t="shared" si="74"/>
        <v>0</v>
      </c>
      <c r="P307" s="66">
        <f t="shared" si="74"/>
        <v>0</v>
      </c>
      <c r="Q307" s="66">
        <f t="shared" si="74"/>
        <v>0</v>
      </c>
      <c r="R307" s="61">
        <f t="shared" si="74"/>
        <v>0</v>
      </c>
      <c r="S307" s="66">
        <f t="shared" si="74"/>
        <v>0</v>
      </c>
      <c r="T307" s="66">
        <f t="shared" si="74"/>
        <v>0</v>
      </c>
      <c r="U307" s="66">
        <f t="shared" si="74"/>
        <v>0</v>
      </c>
      <c r="V307" s="66">
        <f t="shared" si="74"/>
        <v>0</v>
      </c>
      <c r="W307" s="61">
        <f t="shared" si="74"/>
        <v>0</v>
      </c>
      <c r="X307" s="66">
        <f t="shared" si="74"/>
        <v>0</v>
      </c>
      <c r="Y307" s="66">
        <f t="shared" si="74"/>
        <v>0</v>
      </c>
      <c r="Z307" s="66">
        <f t="shared" si="74"/>
        <v>0</v>
      </c>
      <c r="AA307" s="66">
        <f t="shared" si="74"/>
        <v>0</v>
      </c>
      <c r="AB307" s="61">
        <f t="shared" si="74"/>
        <v>0</v>
      </c>
      <c r="AC307" s="66">
        <f t="shared" si="74"/>
        <v>0</v>
      </c>
      <c r="AD307" s="66">
        <f t="shared" si="74"/>
        <v>0</v>
      </c>
      <c r="AE307" s="66"/>
      <c r="AF307" s="66">
        <f t="shared" ref="AF307:AL307" si="75">SUM(AF303:AF306)</f>
        <v>0</v>
      </c>
      <c r="AG307" s="61">
        <f t="shared" si="75"/>
        <v>0</v>
      </c>
      <c r="AH307" s="66">
        <f t="shared" si="75"/>
        <v>0</v>
      </c>
      <c r="AI307" s="66">
        <f t="shared" si="75"/>
        <v>0</v>
      </c>
      <c r="AJ307" s="66">
        <f t="shared" si="75"/>
        <v>0</v>
      </c>
      <c r="AK307" s="66">
        <f t="shared" si="75"/>
        <v>0</v>
      </c>
      <c r="AL307" s="61">
        <f t="shared" si="75"/>
        <v>0</v>
      </c>
      <c r="AM307" s="68">
        <f t="shared" si="62"/>
        <v>0</v>
      </c>
    </row>
    <row r="308" spans="1:39" hidden="1" x14ac:dyDescent="0.35">
      <c r="A308" s="59" t="s">
        <v>336</v>
      </c>
      <c r="B308" s="54">
        <v>5</v>
      </c>
      <c r="C308" s="60" t="s">
        <v>225</v>
      </c>
      <c r="D308" s="60">
        <v>2</v>
      </c>
      <c r="E308" s="60"/>
      <c r="F308" s="60"/>
      <c r="G308" s="60"/>
      <c r="H308" s="61">
        <f>SUM(D308:G308)</f>
        <v>2</v>
      </c>
      <c r="I308" s="60"/>
      <c r="J308" s="60"/>
      <c r="K308" s="60"/>
      <c r="L308" s="60"/>
      <c r="M308" s="61">
        <f>SUM(I308:L308)</f>
        <v>0</v>
      </c>
      <c r="N308" s="60"/>
      <c r="O308" s="60"/>
      <c r="P308" s="60"/>
      <c r="Q308" s="60"/>
      <c r="R308" s="61">
        <f>SUM(N308:Q308)</f>
        <v>0</v>
      </c>
      <c r="S308" s="60"/>
      <c r="T308" s="60"/>
      <c r="U308" s="60"/>
      <c r="V308" s="60"/>
      <c r="W308" s="61">
        <f>SUM(S308:V308)</f>
        <v>0</v>
      </c>
      <c r="X308" s="60"/>
      <c r="Y308" s="60"/>
      <c r="Z308" s="60"/>
      <c r="AA308" s="60"/>
      <c r="AB308" s="61">
        <f>SUM(X308:AA308)</f>
        <v>0</v>
      </c>
      <c r="AC308" s="60">
        <v>1</v>
      </c>
      <c r="AD308" s="60">
        <v>1</v>
      </c>
      <c r="AE308" s="60"/>
      <c r="AF308" s="60"/>
      <c r="AG308" s="61">
        <f>SUM(AC308:AF308)</f>
        <v>2</v>
      </c>
      <c r="AH308" s="60"/>
      <c r="AI308" s="60"/>
      <c r="AJ308" s="60"/>
      <c r="AK308" s="60"/>
      <c r="AL308" s="61">
        <f>SUM(AH308:AK308)</f>
        <v>0</v>
      </c>
      <c r="AM308" s="68">
        <f t="shared" si="62"/>
        <v>4</v>
      </c>
    </row>
    <row r="309" spans="1:39" hidden="1" x14ac:dyDescent="0.35">
      <c r="A309" s="111" t="s">
        <v>238</v>
      </c>
      <c r="B309" s="54"/>
      <c r="C309" s="63" t="s">
        <v>227</v>
      </c>
      <c r="D309" s="63">
        <v>1</v>
      </c>
      <c r="E309" s="63"/>
      <c r="F309" s="63"/>
      <c r="G309" s="63"/>
      <c r="H309" s="61">
        <f>SUM(D309:G309)</f>
        <v>1</v>
      </c>
      <c r="I309" s="63"/>
      <c r="J309" s="63"/>
      <c r="K309" s="63"/>
      <c r="L309" s="63"/>
      <c r="M309" s="61">
        <f>SUM(I309:L309)</f>
        <v>0</v>
      </c>
      <c r="N309" s="63"/>
      <c r="O309" s="63"/>
      <c r="P309" s="63"/>
      <c r="Q309" s="63"/>
      <c r="R309" s="61">
        <f>SUM(N309:Q309)</f>
        <v>0</v>
      </c>
      <c r="S309" s="63"/>
      <c r="T309" s="63"/>
      <c r="U309" s="63"/>
      <c r="V309" s="63"/>
      <c r="W309" s="61">
        <f>SUM(S309:V309)</f>
        <v>0</v>
      </c>
      <c r="X309" s="63"/>
      <c r="Y309" s="63"/>
      <c r="Z309" s="63"/>
      <c r="AA309" s="63"/>
      <c r="AB309" s="61">
        <f>SUM(X309:AA309)</f>
        <v>0</v>
      </c>
      <c r="AC309" s="63"/>
      <c r="AD309" s="63"/>
      <c r="AE309" s="63"/>
      <c r="AF309" s="63"/>
      <c r="AG309" s="61">
        <f>SUM(AC309:AF309)</f>
        <v>0</v>
      </c>
      <c r="AH309" s="63"/>
      <c r="AI309" s="63"/>
      <c r="AJ309" s="63"/>
      <c r="AK309" s="63"/>
      <c r="AL309" s="61">
        <f>SUM(AH309:AK309)</f>
        <v>0</v>
      </c>
      <c r="AM309" s="68">
        <f t="shared" si="62"/>
        <v>1</v>
      </c>
    </row>
    <row r="310" spans="1:39" hidden="1" x14ac:dyDescent="0.35">
      <c r="A310" s="111"/>
      <c r="B310" s="54"/>
      <c r="C310" s="60" t="s">
        <v>228</v>
      </c>
      <c r="D310" s="60">
        <v>1</v>
      </c>
      <c r="E310" s="60"/>
      <c r="F310" s="60"/>
      <c r="G310" s="60"/>
      <c r="H310" s="61">
        <f>SUM(D310:G310)</f>
        <v>1</v>
      </c>
      <c r="I310" s="60"/>
      <c r="J310" s="60"/>
      <c r="K310" s="60"/>
      <c r="L310" s="60"/>
      <c r="M310" s="61">
        <f>SUM(I310:L310)</f>
        <v>0</v>
      </c>
      <c r="N310" s="60"/>
      <c r="O310" s="60"/>
      <c r="P310" s="60"/>
      <c r="Q310" s="60"/>
      <c r="R310" s="61">
        <f>SUM(N310:Q310)</f>
        <v>0</v>
      </c>
      <c r="S310" s="60"/>
      <c r="T310" s="60"/>
      <c r="U310" s="60"/>
      <c r="V310" s="60"/>
      <c r="W310" s="61">
        <f>SUM(S310:V310)</f>
        <v>0</v>
      </c>
      <c r="X310" s="60"/>
      <c r="Y310" s="60"/>
      <c r="Z310" s="60"/>
      <c r="AA310" s="60"/>
      <c r="AB310" s="61">
        <f>SUM(X310:AA310)</f>
        <v>0</v>
      </c>
      <c r="AC310" s="60"/>
      <c r="AD310" s="60"/>
      <c r="AE310" s="60"/>
      <c r="AF310" s="60"/>
      <c r="AG310" s="61">
        <f>SUM(AC310:AF310)</f>
        <v>0</v>
      </c>
      <c r="AH310" s="60"/>
      <c r="AI310" s="60"/>
      <c r="AJ310" s="60"/>
      <c r="AK310" s="60"/>
      <c r="AL310" s="61">
        <f>SUM(AH310:AK310)</f>
        <v>0</v>
      </c>
      <c r="AM310" s="68">
        <f t="shared" si="62"/>
        <v>1</v>
      </c>
    </row>
    <row r="311" spans="1:39" hidden="1" x14ac:dyDescent="0.35">
      <c r="A311" s="111"/>
      <c r="B311" s="54"/>
      <c r="C311" s="63" t="s">
        <v>235</v>
      </c>
      <c r="D311" s="63">
        <v>1</v>
      </c>
      <c r="E311" s="63"/>
      <c r="F311" s="63"/>
      <c r="G311" s="63"/>
      <c r="H311" s="61">
        <f>SUM(D311:G311)</f>
        <v>1</v>
      </c>
      <c r="I311" s="63"/>
      <c r="J311" s="63"/>
      <c r="K311" s="63"/>
      <c r="L311" s="63"/>
      <c r="M311" s="61">
        <f>SUM(I311:L311)</f>
        <v>0</v>
      </c>
      <c r="N311" s="63">
        <v>1</v>
      </c>
      <c r="O311" s="63"/>
      <c r="P311" s="63"/>
      <c r="Q311" s="63"/>
      <c r="R311" s="61">
        <f>SUM(N311:Q311)</f>
        <v>1</v>
      </c>
      <c r="S311" s="63"/>
      <c r="T311" s="63"/>
      <c r="U311" s="63"/>
      <c r="V311" s="63"/>
      <c r="W311" s="61">
        <f>SUM(S311:V311)</f>
        <v>0</v>
      </c>
      <c r="X311" s="63"/>
      <c r="Y311" s="63"/>
      <c r="Z311" s="63"/>
      <c r="AA311" s="63"/>
      <c r="AB311" s="61">
        <f>SUM(X311:AA311)</f>
        <v>0</v>
      </c>
      <c r="AC311" s="63"/>
      <c r="AD311" s="63"/>
      <c r="AE311" s="63"/>
      <c r="AF311" s="63"/>
      <c r="AG311" s="61">
        <f>SUM(AC311:AF311)</f>
        <v>0</v>
      </c>
      <c r="AH311" s="63"/>
      <c r="AI311" s="63"/>
      <c r="AJ311" s="63"/>
      <c r="AK311" s="63"/>
      <c r="AL311" s="61">
        <f>SUM(AH311:AK311)</f>
        <v>0</v>
      </c>
      <c r="AM311" s="68">
        <f t="shared" si="62"/>
        <v>2</v>
      </c>
    </row>
    <row r="312" spans="1:39" x14ac:dyDescent="0.35">
      <c r="A312" s="66" t="s">
        <v>336</v>
      </c>
      <c r="B312" s="67">
        <v>5</v>
      </c>
      <c r="C312" s="66"/>
      <c r="D312" s="66">
        <f t="shared" ref="D312:AL312" si="76">SUM(D308:D311)</f>
        <v>5</v>
      </c>
      <c r="E312" s="66">
        <f t="shared" si="76"/>
        <v>0</v>
      </c>
      <c r="F312" s="66">
        <f t="shared" si="76"/>
        <v>0</v>
      </c>
      <c r="G312" s="66">
        <f t="shared" si="76"/>
        <v>0</v>
      </c>
      <c r="H312" s="61">
        <f t="shared" si="76"/>
        <v>5</v>
      </c>
      <c r="I312" s="66">
        <f t="shared" si="76"/>
        <v>0</v>
      </c>
      <c r="J312" s="66">
        <f t="shared" si="76"/>
        <v>0</v>
      </c>
      <c r="K312" s="66">
        <f t="shared" si="76"/>
        <v>0</v>
      </c>
      <c r="L312" s="66">
        <f t="shared" si="76"/>
        <v>0</v>
      </c>
      <c r="M312" s="61">
        <f t="shared" si="76"/>
        <v>0</v>
      </c>
      <c r="N312" s="66">
        <f t="shared" si="76"/>
        <v>1</v>
      </c>
      <c r="O312" s="66">
        <f t="shared" si="76"/>
        <v>0</v>
      </c>
      <c r="P312" s="66">
        <f t="shared" si="76"/>
        <v>0</v>
      </c>
      <c r="Q312" s="66">
        <f t="shared" si="76"/>
        <v>0</v>
      </c>
      <c r="R312" s="61">
        <f t="shared" si="76"/>
        <v>1</v>
      </c>
      <c r="S312" s="66">
        <f t="shared" si="76"/>
        <v>0</v>
      </c>
      <c r="T312" s="66">
        <f t="shared" si="76"/>
        <v>0</v>
      </c>
      <c r="U312" s="66">
        <f t="shared" si="76"/>
        <v>0</v>
      </c>
      <c r="V312" s="66">
        <f t="shared" si="76"/>
        <v>0</v>
      </c>
      <c r="W312" s="61">
        <f t="shared" si="76"/>
        <v>0</v>
      </c>
      <c r="X312" s="66">
        <f t="shared" si="76"/>
        <v>0</v>
      </c>
      <c r="Y312" s="66">
        <f t="shared" si="76"/>
        <v>0</v>
      </c>
      <c r="Z312" s="66">
        <f t="shared" si="76"/>
        <v>0</v>
      </c>
      <c r="AA312" s="66">
        <f t="shared" si="76"/>
        <v>0</v>
      </c>
      <c r="AB312" s="61">
        <f t="shared" si="76"/>
        <v>0</v>
      </c>
      <c r="AC312" s="66">
        <f t="shared" si="76"/>
        <v>1</v>
      </c>
      <c r="AD312" s="66">
        <f t="shared" si="76"/>
        <v>1</v>
      </c>
      <c r="AE312" s="66">
        <f t="shared" si="76"/>
        <v>0</v>
      </c>
      <c r="AF312" s="66">
        <f t="shared" si="76"/>
        <v>0</v>
      </c>
      <c r="AG312" s="61">
        <f t="shared" si="76"/>
        <v>2</v>
      </c>
      <c r="AH312" s="66">
        <f t="shared" si="76"/>
        <v>0</v>
      </c>
      <c r="AI312" s="66">
        <f t="shared" si="76"/>
        <v>0</v>
      </c>
      <c r="AJ312" s="66">
        <f t="shared" si="76"/>
        <v>0</v>
      </c>
      <c r="AK312" s="66">
        <f t="shared" si="76"/>
        <v>0</v>
      </c>
      <c r="AL312" s="61">
        <f t="shared" si="76"/>
        <v>0</v>
      </c>
      <c r="AM312" s="68">
        <f t="shared" si="62"/>
        <v>8</v>
      </c>
    </row>
    <row r="313" spans="1:39" hidden="1" x14ac:dyDescent="0.35">
      <c r="A313" s="59" t="s">
        <v>337</v>
      </c>
      <c r="B313" s="54" t="s">
        <v>338</v>
      </c>
      <c r="C313" s="60" t="s">
        <v>225</v>
      </c>
      <c r="D313" s="60">
        <v>6</v>
      </c>
      <c r="E313" s="60"/>
      <c r="F313" s="60"/>
      <c r="G313" s="60"/>
      <c r="H313" s="61">
        <f>SUM(D313:G313)</f>
        <v>6</v>
      </c>
      <c r="I313" s="60"/>
      <c r="J313" s="60"/>
      <c r="K313" s="60"/>
      <c r="L313" s="60"/>
      <c r="M313" s="61">
        <f>SUM(I313:L313)</f>
        <v>0</v>
      </c>
      <c r="N313" s="60">
        <v>1</v>
      </c>
      <c r="O313" s="60"/>
      <c r="P313" s="60"/>
      <c r="Q313" s="60"/>
      <c r="R313" s="61">
        <f>SUM(N313:Q313)</f>
        <v>1</v>
      </c>
      <c r="S313" s="60"/>
      <c r="T313" s="60"/>
      <c r="U313" s="60"/>
      <c r="V313" s="60"/>
      <c r="W313" s="61">
        <f>SUM(S313:V313)</f>
        <v>0</v>
      </c>
      <c r="X313" s="60"/>
      <c r="Y313" s="60"/>
      <c r="Z313" s="60"/>
      <c r="AA313" s="60"/>
      <c r="AB313" s="61">
        <f>SUM(X313:AA313)</f>
        <v>0</v>
      </c>
      <c r="AC313" s="60"/>
      <c r="AD313" s="60"/>
      <c r="AE313" s="60"/>
      <c r="AF313" s="60"/>
      <c r="AG313" s="61">
        <f>SUM(AC313:AF313)</f>
        <v>0</v>
      </c>
      <c r="AH313" s="60">
        <v>1</v>
      </c>
      <c r="AI313" s="60"/>
      <c r="AJ313" s="60"/>
      <c r="AK313" s="60"/>
      <c r="AL313" s="61">
        <f>SUM(AH313:AK313)</f>
        <v>1</v>
      </c>
      <c r="AM313" s="68">
        <f t="shared" si="62"/>
        <v>8</v>
      </c>
    </row>
    <row r="314" spans="1:39" hidden="1" x14ac:dyDescent="0.35">
      <c r="A314" s="111" t="s">
        <v>339</v>
      </c>
      <c r="B314" s="54"/>
      <c r="C314" s="63" t="s">
        <v>227</v>
      </c>
      <c r="D314" s="63">
        <v>9</v>
      </c>
      <c r="E314" s="63"/>
      <c r="F314" s="63"/>
      <c r="G314" s="63"/>
      <c r="H314" s="61">
        <f>SUM(D314:G314)</f>
        <v>9</v>
      </c>
      <c r="I314" s="63"/>
      <c r="J314" s="63"/>
      <c r="K314" s="63"/>
      <c r="L314" s="63"/>
      <c r="M314" s="61">
        <f>SUM(I314:L314)</f>
        <v>0</v>
      </c>
      <c r="N314" s="63"/>
      <c r="O314" s="63"/>
      <c r="P314" s="63"/>
      <c r="Q314" s="63"/>
      <c r="R314" s="61">
        <f>SUM(N314:Q314)</f>
        <v>0</v>
      </c>
      <c r="S314" s="63"/>
      <c r="T314" s="63"/>
      <c r="U314" s="63"/>
      <c r="V314" s="63"/>
      <c r="W314" s="61">
        <f>SUM(S314:V314)</f>
        <v>0</v>
      </c>
      <c r="X314" s="63"/>
      <c r="Y314" s="63"/>
      <c r="Z314" s="63"/>
      <c r="AA314" s="63"/>
      <c r="AB314" s="61">
        <f>SUM(X314:AA314)</f>
        <v>0</v>
      </c>
      <c r="AC314" s="63">
        <v>1</v>
      </c>
      <c r="AD314" s="63"/>
      <c r="AE314" s="63"/>
      <c r="AF314" s="63"/>
      <c r="AG314" s="61">
        <f>SUM(AC314:AF314)</f>
        <v>1</v>
      </c>
      <c r="AH314" s="63"/>
      <c r="AI314" s="63"/>
      <c r="AJ314" s="63"/>
      <c r="AK314" s="63"/>
      <c r="AL314" s="61">
        <f>SUM(AH314:AK314)</f>
        <v>0</v>
      </c>
      <c r="AM314" s="68">
        <f t="shared" si="62"/>
        <v>10</v>
      </c>
    </row>
    <row r="315" spans="1:39" hidden="1" x14ac:dyDescent="0.35">
      <c r="A315" s="111"/>
      <c r="B315" s="54"/>
      <c r="C315" s="60" t="s">
        <v>228</v>
      </c>
      <c r="D315" s="60">
        <v>8</v>
      </c>
      <c r="E315" s="60">
        <v>2</v>
      </c>
      <c r="F315" s="60"/>
      <c r="G315" s="60"/>
      <c r="H315" s="61">
        <f>SUM(D315:G315)</f>
        <v>10</v>
      </c>
      <c r="I315" s="60"/>
      <c r="J315" s="60"/>
      <c r="K315" s="60"/>
      <c r="L315" s="60"/>
      <c r="M315" s="61">
        <f>SUM(I315:L315)</f>
        <v>0</v>
      </c>
      <c r="N315" s="60"/>
      <c r="O315" s="60"/>
      <c r="P315" s="60">
        <v>1</v>
      </c>
      <c r="Q315" s="60"/>
      <c r="R315" s="61">
        <f>SUM(N315:Q315)</f>
        <v>1</v>
      </c>
      <c r="S315" s="60"/>
      <c r="T315" s="60"/>
      <c r="U315" s="60"/>
      <c r="V315" s="60"/>
      <c r="W315" s="61">
        <f>SUM(S315:V315)</f>
        <v>0</v>
      </c>
      <c r="X315" s="60"/>
      <c r="Y315" s="60"/>
      <c r="Z315" s="60"/>
      <c r="AA315" s="60"/>
      <c r="AB315" s="61">
        <f>SUM(X315:AA315)</f>
        <v>0</v>
      </c>
      <c r="AC315" s="60"/>
      <c r="AD315" s="60"/>
      <c r="AE315" s="60"/>
      <c r="AF315" s="60"/>
      <c r="AG315" s="61">
        <f>SUM(AC315:AF315)</f>
        <v>0</v>
      </c>
      <c r="AH315" s="60"/>
      <c r="AI315" s="60"/>
      <c r="AJ315" s="60"/>
      <c r="AK315" s="60"/>
      <c r="AL315" s="61">
        <f>SUM(AH315:AK315)</f>
        <v>0</v>
      </c>
      <c r="AM315" s="68">
        <f t="shared" si="62"/>
        <v>11</v>
      </c>
    </row>
    <row r="316" spans="1:39" hidden="1" x14ac:dyDescent="0.35">
      <c r="A316" s="111"/>
      <c r="B316" s="54"/>
      <c r="C316" s="63" t="s">
        <v>235</v>
      </c>
      <c r="D316" s="63">
        <v>14</v>
      </c>
      <c r="E316" s="63">
        <v>1</v>
      </c>
      <c r="F316" s="63"/>
      <c r="G316" s="63"/>
      <c r="H316" s="61">
        <f>SUM(D316:G316)</f>
        <v>15</v>
      </c>
      <c r="I316" s="63">
        <v>1</v>
      </c>
      <c r="J316" s="63"/>
      <c r="K316" s="63"/>
      <c r="L316" s="63"/>
      <c r="M316" s="61">
        <f>SUM(I316:L316)</f>
        <v>1</v>
      </c>
      <c r="N316" s="63"/>
      <c r="O316" s="63"/>
      <c r="P316" s="63"/>
      <c r="Q316" s="63"/>
      <c r="R316" s="61">
        <f>SUM(N316:Q316)</f>
        <v>0</v>
      </c>
      <c r="S316" s="63"/>
      <c r="T316" s="63"/>
      <c r="U316" s="63"/>
      <c r="V316" s="63"/>
      <c r="W316" s="61">
        <f>SUM(S316:V316)</f>
        <v>0</v>
      </c>
      <c r="X316" s="63"/>
      <c r="Y316" s="63"/>
      <c r="Z316" s="63"/>
      <c r="AA316" s="63"/>
      <c r="AB316" s="61">
        <f>SUM(X316:AA316)</f>
        <v>0</v>
      </c>
      <c r="AC316" s="63"/>
      <c r="AD316" s="63"/>
      <c r="AE316" s="63"/>
      <c r="AF316" s="63"/>
      <c r="AG316" s="61">
        <f>SUM(AC316:AF316)</f>
        <v>0</v>
      </c>
      <c r="AH316" s="63"/>
      <c r="AI316" s="63"/>
      <c r="AJ316" s="63"/>
      <c r="AK316" s="63"/>
      <c r="AL316" s="61">
        <f>SUM(AH316:AK316)</f>
        <v>0</v>
      </c>
      <c r="AM316" s="68">
        <f t="shared" si="62"/>
        <v>16</v>
      </c>
    </row>
    <row r="317" spans="1:39" x14ac:dyDescent="0.35">
      <c r="A317" s="66" t="s">
        <v>337</v>
      </c>
      <c r="B317" s="67" t="s">
        <v>338</v>
      </c>
      <c r="C317" s="66"/>
      <c r="D317" s="66">
        <f t="shared" ref="D317:AL317" si="77">SUM(D313:D316)</f>
        <v>37</v>
      </c>
      <c r="E317" s="66">
        <f t="shared" si="77"/>
        <v>3</v>
      </c>
      <c r="F317" s="66">
        <f t="shared" si="77"/>
        <v>0</v>
      </c>
      <c r="G317" s="66">
        <f t="shared" si="77"/>
        <v>0</v>
      </c>
      <c r="H317" s="61">
        <f t="shared" si="77"/>
        <v>40</v>
      </c>
      <c r="I317" s="66">
        <f t="shared" si="77"/>
        <v>1</v>
      </c>
      <c r="J317" s="66">
        <f t="shared" si="77"/>
        <v>0</v>
      </c>
      <c r="K317" s="66">
        <f t="shared" si="77"/>
        <v>0</v>
      </c>
      <c r="L317" s="66">
        <f t="shared" si="77"/>
        <v>0</v>
      </c>
      <c r="M317" s="61">
        <f t="shared" si="77"/>
        <v>1</v>
      </c>
      <c r="N317" s="66">
        <f t="shared" si="77"/>
        <v>1</v>
      </c>
      <c r="O317" s="66">
        <f t="shared" si="77"/>
        <v>0</v>
      </c>
      <c r="P317" s="66">
        <f t="shared" si="77"/>
        <v>1</v>
      </c>
      <c r="Q317" s="66">
        <f t="shared" si="77"/>
        <v>0</v>
      </c>
      <c r="R317" s="61">
        <f t="shared" si="77"/>
        <v>2</v>
      </c>
      <c r="S317" s="66">
        <f t="shared" si="77"/>
        <v>0</v>
      </c>
      <c r="T317" s="66">
        <f t="shared" si="77"/>
        <v>0</v>
      </c>
      <c r="U317" s="66">
        <f t="shared" si="77"/>
        <v>0</v>
      </c>
      <c r="V317" s="66">
        <f t="shared" si="77"/>
        <v>0</v>
      </c>
      <c r="W317" s="61">
        <f t="shared" si="77"/>
        <v>0</v>
      </c>
      <c r="X317" s="66">
        <f t="shared" si="77"/>
        <v>0</v>
      </c>
      <c r="Y317" s="66">
        <f t="shared" si="77"/>
        <v>0</v>
      </c>
      <c r="Z317" s="66">
        <f t="shared" si="77"/>
        <v>0</v>
      </c>
      <c r="AA317" s="66">
        <f t="shared" si="77"/>
        <v>0</v>
      </c>
      <c r="AB317" s="61">
        <f t="shared" si="77"/>
        <v>0</v>
      </c>
      <c r="AC317" s="66">
        <f t="shared" si="77"/>
        <v>1</v>
      </c>
      <c r="AD317" s="66">
        <f t="shared" si="77"/>
        <v>0</v>
      </c>
      <c r="AE317" s="66">
        <f t="shared" si="77"/>
        <v>0</v>
      </c>
      <c r="AF317" s="66">
        <f t="shared" si="77"/>
        <v>0</v>
      </c>
      <c r="AG317" s="61">
        <f t="shared" si="77"/>
        <v>1</v>
      </c>
      <c r="AH317" s="66">
        <f t="shared" si="77"/>
        <v>1</v>
      </c>
      <c r="AI317" s="66">
        <f t="shared" si="77"/>
        <v>0</v>
      </c>
      <c r="AJ317" s="66">
        <f t="shared" si="77"/>
        <v>0</v>
      </c>
      <c r="AK317" s="66">
        <f t="shared" si="77"/>
        <v>0</v>
      </c>
      <c r="AL317" s="61">
        <f t="shared" si="77"/>
        <v>1</v>
      </c>
      <c r="AM317" s="68">
        <f t="shared" si="62"/>
        <v>45</v>
      </c>
    </row>
    <row r="318" spans="1:39" hidden="1" x14ac:dyDescent="0.35">
      <c r="A318" s="59" t="s">
        <v>340</v>
      </c>
      <c r="B318" s="54" t="s">
        <v>303</v>
      </c>
      <c r="C318" s="60" t="s">
        <v>225</v>
      </c>
      <c r="D318" s="60">
        <v>1</v>
      </c>
      <c r="E318" s="60"/>
      <c r="F318" s="60"/>
      <c r="G318" s="60"/>
      <c r="H318" s="61">
        <f>SUM(D318:G318)</f>
        <v>1</v>
      </c>
      <c r="I318" s="60"/>
      <c r="J318" s="60"/>
      <c r="K318" s="60"/>
      <c r="L318" s="60"/>
      <c r="M318" s="61">
        <f>SUM(I318:L318)</f>
        <v>0</v>
      </c>
      <c r="N318" s="60"/>
      <c r="O318" s="60">
        <v>1</v>
      </c>
      <c r="P318" s="60"/>
      <c r="Q318" s="60"/>
      <c r="R318" s="61">
        <f>SUM(N318:Q318)</f>
        <v>1</v>
      </c>
      <c r="S318" s="60"/>
      <c r="T318" s="60"/>
      <c r="U318" s="60"/>
      <c r="V318" s="60"/>
      <c r="W318" s="61">
        <f>SUM(S318:V318)</f>
        <v>0</v>
      </c>
      <c r="X318" s="60"/>
      <c r="Y318" s="60"/>
      <c r="Z318" s="60"/>
      <c r="AA318" s="60"/>
      <c r="AB318" s="61">
        <f>SUM(X318:AA318)</f>
        <v>0</v>
      </c>
      <c r="AC318" s="60">
        <v>1</v>
      </c>
      <c r="AD318" s="60">
        <v>1</v>
      </c>
      <c r="AE318" s="60"/>
      <c r="AF318" s="60"/>
      <c r="AG318" s="61">
        <f>SUM(AC318:AF318)</f>
        <v>2</v>
      </c>
      <c r="AH318" s="60"/>
      <c r="AI318" s="60"/>
      <c r="AJ318" s="60"/>
      <c r="AK318" s="60"/>
      <c r="AL318" s="61">
        <f>SUM(AH318:AK318)</f>
        <v>0</v>
      </c>
      <c r="AM318" s="68">
        <f t="shared" si="62"/>
        <v>4</v>
      </c>
    </row>
    <row r="319" spans="1:39" hidden="1" x14ac:dyDescent="0.35">
      <c r="A319" s="111" t="s">
        <v>341</v>
      </c>
      <c r="B319" s="54"/>
      <c r="C319" s="63" t="s">
        <v>227</v>
      </c>
      <c r="D319" s="63">
        <v>1</v>
      </c>
      <c r="E319" s="63"/>
      <c r="F319" s="63"/>
      <c r="G319" s="63"/>
      <c r="H319" s="61">
        <f>SUM(D319:G319)</f>
        <v>1</v>
      </c>
      <c r="I319" s="63"/>
      <c r="J319" s="63"/>
      <c r="K319" s="63"/>
      <c r="L319" s="63"/>
      <c r="M319" s="61">
        <f>SUM(I319:L319)</f>
        <v>0</v>
      </c>
      <c r="N319" s="63">
        <v>1</v>
      </c>
      <c r="O319" s="63"/>
      <c r="P319" s="63"/>
      <c r="Q319" s="63"/>
      <c r="R319" s="61">
        <f>SUM(N319:Q319)</f>
        <v>1</v>
      </c>
      <c r="S319" s="63"/>
      <c r="T319" s="63"/>
      <c r="U319" s="63"/>
      <c r="V319" s="63"/>
      <c r="W319" s="61">
        <f>SUM(S319:V319)</f>
        <v>0</v>
      </c>
      <c r="X319" s="63"/>
      <c r="Y319" s="63"/>
      <c r="Z319" s="63"/>
      <c r="AA319" s="63"/>
      <c r="AB319" s="61">
        <f>SUM(X319:AA319)</f>
        <v>0</v>
      </c>
      <c r="AC319" s="63">
        <v>1</v>
      </c>
      <c r="AD319" s="63"/>
      <c r="AE319" s="63"/>
      <c r="AF319" s="63"/>
      <c r="AG319" s="61">
        <f>SUM(AC319:AF319)</f>
        <v>1</v>
      </c>
      <c r="AH319" s="63">
        <v>1</v>
      </c>
      <c r="AI319" s="63"/>
      <c r="AJ319" s="63"/>
      <c r="AK319" s="63"/>
      <c r="AL319" s="61">
        <f>SUM(AH319:AK319)</f>
        <v>1</v>
      </c>
      <c r="AM319" s="68">
        <f t="shared" si="62"/>
        <v>4</v>
      </c>
    </row>
    <row r="320" spans="1:39" hidden="1" x14ac:dyDescent="0.35">
      <c r="A320" s="111"/>
      <c r="B320" s="54"/>
      <c r="C320" s="60" t="s">
        <v>228</v>
      </c>
      <c r="D320" s="60"/>
      <c r="E320" s="60"/>
      <c r="F320" s="60"/>
      <c r="G320" s="60"/>
      <c r="H320" s="61">
        <f>SUM(D320:G320)</f>
        <v>0</v>
      </c>
      <c r="I320" s="60"/>
      <c r="J320" s="60"/>
      <c r="K320" s="60"/>
      <c r="L320" s="60"/>
      <c r="M320" s="61">
        <f>SUM(I320:L320)</f>
        <v>0</v>
      </c>
      <c r="N320" s="60">
        <v>1</v>
      </c>
      <c r="O320" s="60"/>
      <c r="P320" s="60"/>
      <c r="Q320" s="60"/>
      <c r="R320" s="61">
        <f>SUM(N320:Q320)</f>
        <v>1</v>
      </c>
      <c r="S320" s="60"/>
      <c r="T320" s="60"/>
      <c r="U320" s="60"/>
      <c r="V320" s="60"/>
      <c r="W320" s="61">
        <f>SUM(S320:V320)</f>
        <v>0</v>
      </c>
      <c r="X320" s="60"/>
      <c r="Y320" s="60"/>
      <c r="Z320" s="60"/>
      <c r="AA320" s="60"/>
      <c r="AB320" s="61">
        <f>SUM(X320:AA320)</f>
        <v>0</v>
      </c>
      <c r="AC320" s="60"/>
      <c r="AD320" s="60"/>
      <c r="AE320" s="60"/>
      <c r="AF320" s="60"/>
      <c r="AG320" s="61">
        <f>SUM(AC320:AF320)</f>
        <v>0</v>
      </c>
      <c r="AH320" s="60"/>
      <c r="AI320" s="60"/>
      <c r="AJ320" s="60"/>
      <c r="AK320" s="60"/>
      <c r="AL320" s="61">
        <f>SUM(AH320:AK320)</f>
        <v>0</v>
      </c>
      <c r="AM320" s="68">
        <f t="shared" si="62"/>
        <v>1</v>
      </c>
    </row>
    <row r="321" spans="1:39" hidden="1" x14ac:dyDescent="0.35">
      <c r="A321" s="111"/>
      <c r="B321" s="54"/>
      <c r="C321" s="63" t="s">
        <v>235</v>
      </c>
      <c r="D321" s="63"/>
      <c r="E321" s="63"/>
      <c r="F321" s="63"/>
      <c r="G321" s="63"/>
      <c r="H321" s="61">
        <f>SUM(D321:G321)</f>
        <v>0</v>
      </c>
      <c r="I321" s="63"/>
      <c r="J321" s="63"/>
      <c r="K321" s="63"/>
      <c r="L321" s="63"/>
      <c r="M321" s="61">
        <f>SUM(I321:L321)</f>
        <v>0</v>
      </c>
      <c r="N321" s="63"/>
      <c r="O321" s="63"/>
      <c r="P321" s="63"/>
      <c r="Q321" s="63"/>
      <c r="R321" s="61">
        <f>SUM(N321:Q321)</f>
        <v>0</v>
      </c>
      <c r="S321" s="63"/>
      <c r="T321" s="63"/>
      <c r="U321" s="63"/>
      <c r="V321" s="63"/>
      <c r="W321" s="61">
        <f>SUM(S321:V321)</f>
        <v>0</v>
      </c>
      <c r="X321" s="63"/>
      <c r="Y321" s="63"/>
      <c r="Z321" s="63"/>
      <c r="AA321" s="63"/>
      <c r="AB321" s="61">
        <f>SUM(X321:AA321)</f>
        <v>0</v>
      </c>
      <c r="AC321" s="63"/>
      <c r="AD321" s="63"/>
      <c r="AE321" s="63"/>
      <c r="AF321" s="63"/>
      <c r="AG321" s="61">
        <f>SUM(AC321:AF321)</f>
        <v>0</v>
      </c>
      <c r="AH321" s="63"/>
      <c r="AI321" s="63"/>
      <c r="AJ321" s="63"/>
      <c r="AK321" s="63"/>
      <c r="AL321" s="61">
        <f>SUM(AH321:AK321)</f>
        <v>0</v>
      </c>
      <c r="AM321" s="68">
        <f t="shared" si="62"/>
        <v>0</v>
      </c>
    </row>
    <row r="322" spans="1:39" x14ac:dyDescent="0.35">
      <c r="A322" s="66" t="s">
        <v>340</v>
      </c>
      <c r="B322" s="67" t="s">
        <v>303</v>
      </c>
      <c r="C322" s="66"/>
      <c r="D322" s="66">
        <f t="shared" ref="D322:AL322" si="78">SUM(D318:D321)</f>
        <v>2</v>
      </c>
      <c r="E322" s="66">
        <f t="shared" si="78"/>
        <v>0</v>
      </c>
      <c r="F322" s="66">
        <f t="shared" si="78"/>
        <v>0</v>
      </c>
      <c r="G322" s="66">
        <f t="shared" si="78"/>
        <v>0</v>
      </c>
      <c r="H322" s="61">
        <f t="shared" si="78"/>
        <v>2</v>
      </c>
      <c r="I322" s="66">
        <f t="shared" si="78"/>
        <v>0</v>
      </c>
      <c r="J322" s="66">
        <f t="shared" si="78"/>
        <v>0</v>
      </c>
      <c r="K322" s="66">
        <f t="shared" si="78"/>
        <v>0</v>
      </c>
      <c r="L322" s="66">
        <f t="shared" si="78"/>
        <v>0</v>
      </c>
      <c r="M322" s="61">
        <f t="shared" si="78"/>
        <v>0</v>
      </c>
      <c r="N322" s="66">
        <f t="shared" si="78"/>
        <v>2</v>
      </c>
      <c r="O322" s="66">
        <f t="shared" si="78"/>
        <v>1</v>
      </c>
      <c r="P322" s="66">
        <f t="shared" si="78"/>
        <v>0</v>
      </c>
      <c r="Q322" s="66">
        <f t="shared" si="78"/>
        <v>0</v>
      </c>
      <c r="R322" s="61">
        <f t="shared" si="78"/>
        <v>3</v>
      </c>
      <c r="S322" s="66">
        <f t="shared" si="78"/>
        <v>0</v>
      </c>
      <c r="T322" s="66">
        <f t="shared" si="78"/>
        <v>0</v>
      </c>
      <c r="U322" s="66">
        <f t="shared" si="78"/>
        <v>0</v>
      </c>
      <c r="V322" s="66">
        <f t="shared" si="78"/>
        <v>0</v>
      </c>
      <c r="W322" s="61">
        <f t="shared" si="78"/>
        <v>0</v>
      </c>
      <c r="X322" s="66">
        <f t="shared" si="78"/>
        <v>0</v>
      </c>
      <c r="Y322" s="66">
        <f t="shared" si="78"/>
        <v>0</v>
      </c>
      <c r="Z322" s="66">
        <f t="shared" si="78"/>
        <v>0</v>
      </c>
      <c r="AA322" s="66">
        <f t="shared" si="78"/>
        <v>0</v>
      </c>
      <c r="AB322" s="61">
        <f t="shared" si="78"/>
        <v>0</v>
      </c>
      <c r="AC322" s="66">
        <f t="shared" si="78"/>
        <v>2</v>
      </c>
      <c r="AD322" s="66">
        <f t="shared" si="78"/>
        <v>1</v>
      </c>
      <c r="AE322" s="66">
        <f t="shared" si="78"/>
        <v>0</v>
      </c>
      <c r="AF322" s="66">
        <f t="shared" si="78"/>
        <v>0</v>
      </c>
      <c r="AG322" s="61">
        <f t="shared" si="78"/>
        <v>3</v>
      </c>
      <c r="AH322" s="66">
        <f t="shared" si="78"/>
        <v>1</v>
      </c>
      <c r="AI322" s="66">
        <f t="shared" si="78"/>
        <v>0</v>
      </c>
      <c r="AJ322" s="66">
        <f t="shared" si="78"/>
        <v>0</v>
      </c>
      <c r="AK322" s="66">
        <f t="shared" si="78"/>
        <v>0</v>
      </c>
      <c r="AL322" s="61">
        <f t="shared" si="78"/>
        <v>1</v>
      </c>
      <c r="AM322" s="68">
        <f t="shared" si="62"/>
        <v>9</v>
      </c>
    </row>
    <row r="323" spans="1:39" hidden="1" x14ac:dyDescent="0.35">
      <c r="A323" s="59" t="s">
        <v>342</v>
      </c>
      <c r="B323" s="54" t="s">
        <v>330</v>
      </c>
      <c r="C323" s="60" t="s">
        <v>225</v>
      </c>
      <c r="D323" s="60"/>
      <c r="E323" s="60"/>
      <c r="F323" s="60"/>
      <c r="G323" s="60"/>
      <c r="H323" s="61">
        <f>SUM(D323:G323)</f>
        <v>0</v>
      </c>
      <c r="I323" s="60">
        <v>1</v>
      </c>
      <c r="J323" s="60"/>
      <c r="K323" s="60"/>
      <c r="L323" s="60"/>
      <c r="M323" s="61">
        <f>SUM(I323:L323)</f>
        <v>1</v>
      </c>
      <c r="N323" s="60"/>
      <c r="O323" s="60"/>
      <c r="P323" s="60"/>
      <c r="Q323" s="60"/>
      <c r="R323" s="61">
        <f>SUM(N323:Q323)</f>
        <v>0</v>
      </c>
      <c r="S323" s="60"/>
      <c r="T323" s="60"/>
      <c r="U323" s="60"/>
      <c r="V323" s="60"/>
      <c r="W323" s="61">
        <f>SUM(S323:V323)</f>
        <v>0</v>
      </c>
      <c r="X323" s="60"/>
      <c r="Y323" s="60"/>
      <c r="Z323" s="60"/>
      <c r="AA323" s="60"/>
      <c r="AB323" s="61">
        <f>SUM(X323:AA323)</f>
        <v>0</v>
      </c>
      <c r="AC323" s="60"/>
      <c r="AD323" s="60"/>
      <c r="AE323" s="60"/>
      <c r="AF323" s="60"/>
      <c r="AG323" s="61">
        <f>SUM(AC323:AF323)</f>
        <v>0</v>
      </c>
      <c r="AH323" s="60">
        <v>1</v>
      </c>
      <c r="AI323" s="60"/>
      <c r="AJ323" s="60"/>
      <c r="AK323" s="60"/>
      <c r="AL323" s="61">
        <f>SUM(AH323:AK323)</f>
        <v>1</v>
      </c>
      <c r="AM323" s="68">
        <f t="shared" si="62"/>
        <v>2</v>
      </c>
    </row>
    <row r="324" spans="1:39" hidden="1" x14ac:dyDescent="0.35">
      <c r="A324" s="111" t="s">
        <v>343</v>
      </c>
      <c r="B324" s="54"/>
      <c r="C324" s="63" t="s">
        <v>227</v>
      </c>
      <c r="D324" s="63"/>
      <c r="E324" s="63"/>
      <c r="F324" s="63"/>
      <c r="G324" s="63"/>
      <c r="H324" s="61">
        <f>SUM(D324:G324)</f>
        <v>0</v>
      </c>
      <c r="I324" s="63"/>
      <c r="J324" s="63"/>
      <c r="K324" s="63"/>
      <c r="L324" s="63"/>
      <c r="M324" s="61">
        <f>SUM(I324:L324)</f>
        <v>0</v>
      </c>
      <c r="N324" s="63"/>
      <c r="O324" s="63"/>
      <c r="P324" s="63"/>
      <c r="Q324" s="63"/>
      <c r="R324" s="61">
        <f>SUM(N324:Q324)</f>
        <v>0</v>
      </c>
      <c r="S324" s="63"/>
      <c r="T324" s="63"/>
      <c r="U324" s="63"/>
      <c r="V324" s="63"/>
      <c r="W324" s="61">
        <f>SUM(S324:V324)</f>
        <v>0</v>
      </c>
      <c r="X324" s="63"/>
      <c r="Y324" s="63"/>
      <c r="Z324" s="63"/>
      <c r="AA324" s="63"/>
      <c r="AB324" s="61">
        <f>SUM(X324:AA324)</f>
        <v>0</v>
      </c>
      <c r="AC324" s="63"/>
      <c r="AD324" s="63"/>
      <c r="AE324" s="63"/>
      <c r="AF324" s="63"/>
      <c r="AG324" s="61">
        <f>SUM(AC324:AF324)</f>
        <v>0</v>
      </c>
      <c r="AH324" s="63"/>
      <c r="AI324" s="63"/>
      <c r="AJ324" s="63"/>
      <c r="AK324" s="63"/>
      <c r="AL324" s="61">
        <f>SUM(AH324:AK324)</f>
        <v>0</v>
      </c>
      <c r="AM324" s="68">
        <f t="shared" si="62"/>
        <v>0</v>
      </c>
    </row>
    <row r="325" spans="1:39" hidden="1" x14ac:dyDescent="0.35">
      <c r="A325" s="111"/>
      <c r="B325" s="54"/>
      <c r="C325" s="60" t="s">
        <v>228</v>
      </c>
      <c r="D325" s="60"/>
      <c r="E325" s="60"/>
      <c r="F325" s="60"/>
      <c r="G325" s="60"/>
      <c r="H325" s="61">
        <f>SUM(D325:G325)</f>
        <v>0</v>
      </c>
      <c r="I325" s="60"/>
      <c r="J325" s="60"/>
      <c r="K325" s="60"/>
      <c r="L325" s="60"/>
      <c r="M325" s="61">
        <f>SUM(I325:L325)</f>
        <v>0</v>
      </c>
      <c r="N325" s="60"/>
      <c r="O325" s="60"/>
      <c r="P325" s="60"/>
      <c r="Q325" s="60"/>
      <c r="R325" s="61">
        <f>SUM(N325:Q325)</f>
        <v>0</v>
      </c>
      <c r="S325" s="60"/>
      <c r="T325" s="60"/>
      <c r="U325" s="60"/>
      <c r="V325" s="60"/>
      <c r="W325" s="61">
        <f>SUM(S325:V325)</f>
        <v>0</v>
      </c>
      <c r="X325" s="60"/>
      <c r="Y325" s="60"/>
      <c r="Z325" s="60"/>
      <c r="AA325" s="60"/>
      <c r="AB325" s="61">
        <f>SUM(X325:AA325)</f>
        <v>0</v>
      </c>
      <c r="AC325" s="60"/>
      <c r="AD325" s="60"/>
      <c r="AE325" s="60"/>
      <c r="AF325" s="60"/>
      <c r="AG325" s="61">
        <f>SUM(AC325:AF325)</f>
        <v>0</v>
      </c>
      <c r="AH325" s="60"/>
      <c r="AI325" s="60"/>
      <c r="AJ325" s="60"/>
      <c r="AK325" s="60"/>
      <c r="AL325" s="61">
        <f>SUM(AH325:AK325)</f>
        <v>0</v>
      </c>
      <c r="AM325" s="68">
        <f t="shared" ref="AM325:AM388" si="79">SUM(H325,M325,R325,W325,AB325,AG325,AL325)</f>
        <v>0</v>
      </c>
    </row>
    <row r="326" spans="1:39" hidden="1" x14ac:dyDescent="0.35">
      <c r="A326" s="111"/>
      <c r="B326" s="54"/>
      <c r="C326" s="63" t="s">
        <v>235</v>
      </c>
      <c r="D326" s="63"/>
      <c r="E326" s="63"/>
      <c r="F326" s="63"/>
      <c r="G326" s="63"/>
      <c r="H326" s="61">
        <f>SUM(D326:G326)</f>
        <v>0</v>
      </c>
      <c r="I326" s="63"/>
      <c r="J326" s="63"/>
      <c r="K326" s="63"/>
      <c r="L326" s="63"/>
      <c r="M326" s="61">
        <f>SUM(I326:L326)</f>
        <v>0</v>
      </c>
      <c r="N326" s="63"/>
      <c r="O326" s="63"/>
      <c r="P326" s="63"/>
      <c r="Q326" s="63"/>
      <c r="R326" s="61">
        <f>SUM(N326:Q326)</f>
        <v>0</v>
      </c>
      <c r="S326" s="63"/>
      <c r="T326" s="63"/>
      <c r="U326" s="63"/>
      <c r="V326" s="63"/>
      <c r="W326" s="61">
        <f>SUM(S326:V326)</f>
        <v>0</v>
      </c>
      <c r="X326" s="63"/>
      <c r="Y326" s="63"/>
      <c r="Z326" s="63"/>
      <c r="AA326" s="63"/>
      <c r="AB326" s="61">
        <f>SUM(X326:AA326)</f>
        <v>0</v>
      </c>
      <c r="AC326" s="63"/>
      <c r="AD326" s="63"/>
      <c r="AE326" s="63"/>
      <c r="AF326" s="63"/>
      <c r="AG326" s="61">
        <f>SUM(AC326:AF326)</f>
        <v>0</v>
      </c>
      <c r="AH326" s="63"/>
      <c r="AI326" s="63"/>
      <c r="AJ326" s="63"/>
      <c r="AK326" s="63"/>
      <c r="AL326" s="61">
        <f>SUM(AH326:AK326)</f>
        <v>0</v>
      </c>
      <c r="AM326" s="68">
        <f t="shared" si="79"/>
        <v>0</v>
      </c>
    </row>
    <row r="327" spans="1:39" x14ac:dyDescent="0.35">
      <c r="A327" s="66" t="s">
        <v>342</v>
      </c>
      <c r="B327" s="67" t="s">
        <v>330</v>
      </c>
      <c r="C327" s="66"/>
      <c r="D327" s="66">
        <f t="shared" ref="D327:AL327" si="80">SUM(D323:D326)</f>
        <v>0</v>
      </c>
      <c r="E327" s="66">
        <f t="shared" si="80"/>
        <v>0</v>
      </c>
      <c r="F327" s="66">
        <f t="shared" si="80"/>
        <v>0</v>
      </c>
      <c r="G327" s="66">
        <f t="shared" si="80"/>
        <v>0</v>
      </c>
      <c r="H327" s="61">
        <f t="shared" si="80"/>
        <v>0</v>
      </c>
      <c r="I327" s="66">
        <f t="shared" si="80"/>
        <v>1</v>
      </c>
      <c r="J327" s="66">
        <f t="shared" si="80"/>
        <v>0</v>
      </c>
      <c r="K327" s="66">
        <f t="shared" si="80"/>
        <v>0</v>
      </c>
      <c r="L327" s="66">
        <f t="shared" si="80"/>
        <v>0</v>
      </c>
      <c r="M327" s="61">
        <f t="shared" si="80"/>
        <v>1</v>
      </c>
      <c r="N327" s="66">
        <f t="shared" si="80"/>
        <v>0</v>
      </c>
      <c r="O327" s="66">
        <f t="shared" si="80"/>
        <v>0</v>
      </c>
      <c r="P327" s="66">
        <f t="shared" si="80"/>
        <v>0</v>
      </c>
      <c r="Q327" s="66">
        <f t="shared" si="80"/>
        <v>0</v>
      </c>
      <c r="R327" s="61">
        <f t="shared" si="80"/>
        <v>0</v>
      </c>
      <c r="S327" s="66">
        <f t="shared" si="80"/>
        <v>0</v>
      </c>
      <c r="T327" s="66">
        <f t="shared" si="80"/>
        <v>0</v>
      </c>
      <c r="U327" s="66">
        <f t="shared" si="80"/>
        <v>0</v>
      </c>
      <c r="V327" s="66">
        <f t="shared" si="80"/>
        <v>0</v>
      </c>
      <c r="W327" s="61">
        <f t="shared" si="80"/>
        <v>0</v>
      </c>
      <c r="X327" s="66">
        <f t="shared" si="80"/>
        <v>0</v>
      </c>
      <c r="Y327" s="66">
        <f t="shared" si="80"/>
        <v>0</v>
      </c>
      <c r="Z327" s="66">
        <f t="shared" si="80"/>
        <v>0</v>
      </c>
      <c r="AA327" s="66">
        <f t="shared" si="80"/>
        <v>0</v>
      </c>
      <c r="AB327" s="61">
        <f t="shared" si="80"/>
        <v>0</v>
      </c>
      <c r="AC327" s="66">
        <f t="shared" si="80"/>
        <v>0</v>
      </c>
      <c r="AD327" s="66">
        <f t="shared" si="80"/>
        <v>0</v>
      </c>
      <c r="AE327" s="66">
        <f t="shared" si="80"/>
        <v>0</v>
      </c>
      <c r="AF327" s="66">
        <f t="shared" si="80"/>
        <v>0</v>
      </c>
      <c r="AG327" s="61">
        <f t="shared" si="80"/>
        <v>0</v>
      </c>
      <c r="AH327" s="66">
        <f t="shared" si="80"/>
        <v>1</v>
      </c>
      <c r="AI327" s="66">
        <f t="shared" si="80"/>
        <v>0</v>
      </c>
      <c r="AJ327" s="66">
        <f t="shared" si="80"/>
        <v>0</v>
      </c>
      <c r="AK327" s="66">
        <f t="shared" si="80"/>
        <v>0</v>
      </c>
      <c r="AL327" s="61">
        <f t="shared" si="80"/>
        <v>1</v>
      </c>
      <c r="AM327" s="68">
        <f t="shared" si="79"/>
        <v>2</v>
      </c>
    </row>
    <row r="328" spans="1:39" hidden="1" x14ac:dyDescent="0.35">
      <c r="A328" s="59" t="s">
        <v>344</v>
      </c>
      <c r="B328" s="54" t="s">
        <v>345</v>
      </c>
      <c r="C328" s="60" t="s">
        <v>225</v>
      </c>
      <c r="D328" s="60"/>
      <c r="E328" s="60"/>
      <c r="F328" s="60"/>
      <c r="G328" s="60"/>
      <c r="H328" s="61">
        <f>SUM(D328:G328)</f>
        <v>0</v>
      </c>
      <c r="I328" s="60"/>
      <c r="J328" s="60"/>
      <c r="K328" s="60"/>
      <c r="L328" s="60"/>
      <c r="M328" s="61">
        <f>SUM(I328:L328)</f>
        <v>0</v>
      </c>
      <c r="N328" s="60">
        <v>8</v>
      </c>
      <c r="O328" s="60"/>
      <c r="P328" s="60"/>
      <c r="Q328" s="60"/>
      <c r="R328" s="61">
        <f>SUM(N328:Q328)</f>
        <v>8</v>
      </c>
      <c r="S328" s="60"/>
      <c r="T328" s="60"/>
      <c r="U328" s="60"/>
      <c r="V328" s="60"/>
      <c r="W328" s="61">
        <f>SUM(S328:V328)</f>
        <v>0</v>
      </c>
      <c r="X328" s="60"/>
      <c r="Y328" s="60"/>
      <c r="Z328" s="60"/>
      <c r="AA328" s="60"/>
      <c r="AB328" s="61">
        <f>SUM(X328:AA328)</f>
        <v>0</v>
      </c>
      <c r="AC328" s="60">
        <v>2</v>
      </c>
      <c r="AD328" s="60"/>
      <c r="AE328" s="60"/>
      <c r="AF328" s="60"/>
      <c r="AG328" s="61">
        <f>SUM(AC328:AF328)</f>
        <v>2</v>
      </c>
      <c r="AH328" s="60">
        <v>1</v>
      </c>
      <c r="AI328" s="60"/>
      <c r="AJ328" s="60"/>
      <c r="AK328" s="60"/>
      <c r="AL328" s="61">
        <f>SUM(AH328:AK328)</f>
        <v>1</v>
      </c>
      <c r="AM328" s="68">
        <f t="shared" si="79"/>
        <v>11</v>
      </c>
    </row>
    <row r="329" spans="1:39" hidden="1" x14ac:dyDescent="0.35">
      <c r="A329" s="111" t="s">
        <v>346</v>
      </c>
      <c r="B329" s="54"/>
      <c r="C329" s="63" t="s">
        <v>227</v>
      </c>
      <c r="D329" s="63"/>
      <c r="E329" s="63"/>
      <c r="F329" s="63"/>
      <c r="G329" s="63"/>
      <c r="H329" s="61">
        <f>SUM(D329:G329)</f>
        <v>0</v>
      </c>
      <c r="I329" s="63"/>
      <c r="J329" s="63"/>
      <c r="K329" s="63"/>
      <c r="L329" s="63"/>
      <c r="M329" s="61">
        <f>SUM(I329:L329)</f>
        <v>0</v>
      </c>
      <c r="N329" s="63">
        <v>3</v>
      </c>
      <c r="O329" s="63"/>
      <c r="P329" s="63"/>
      <c r="Q329" s="63"/>
      <c r="R329" s="61">
        <f>SUM(N329:Q329)</f>
        <v>3</v>
      </c>
      <c r="S329" s="63"/>
      <c r="T329" s="63"/>
      <c r="U329" s="63"/>
      <c r="V329" s="63"/>
      <c r="W329" s="61">
        <f>SUM(S329:V329)</f>
        <v>0</v>
      </c>
      <c r="X329" s="63"/>
      <c r="Y329" s="63"/>
      <c r="Z329" s="63"/>
      <c r="AA329" s="63"/>
      <c r="AB329" s="61">
        <f>SUM(X329:AA329)</f>
        <v>0</v>
      </c>
      <c r="AC329" s="63"/>
      <c r="AD329" s="63"/>
      <c r="AE329" s="63"/>
      <c r="AF329" s="63"/>
      <c r="AG329" s="61">
        <f>SUM(AC329:AF329)</f>
        <v>0</v>
      </c>
      <c r="AH329" s="63">
        <v>1</v>
      </c>
      <c r="AI329" s="63"/>
      <c r="AJ329" s="63"/>
      <c r="AK329" s="63"/>
      <c r="AL329" s="61">
        <f>SUM(AH329:AK329)</f>
        <v>1</v>
      </c>
      <c r="AM329" s="68">
        <f t="shared" si="79"/>
        <v>4</v>
      </c>
    </row>
    <row r="330" spans="1:39" hidden="1" x14ac:dyDescent="0.35">
      <c r="A330" s="111"/>
      <c r="B330" s="54"/>
      <c r="C330" s="60" t="s">
        <v>228</v>
      </c>
      <c r="D330" s="60"/>
      <c r="E330" s="60"/>
      <c r="F330" s="60"/>
      <c r="G330" s="60"/>
      <c r="H330" s="61">
        <f>SUM(D330:G330)</f>
        <v>0</v>
      </c>
      <c r="I330" s="60"/>
      <c r="J330" s="60"/>
      <c r="K330" s="60"/>
      <c r="L330" s="60"/>
      <c r="M330" s="61">
        <f>SUM(I330:L330)</f>
        <v>0</v>
      </c>
      <c r="N330" s="60">
        <v>1</v>
      </c>
      <c r="O330" s="60"/>
      <c r="P330" s="60"/>
      <c r="Q330" s="60"/>
      <c r="R330" s="61">
        <f>SUM(N330:Q330)</f>
        <v>1</v>
      </c>
      <c r="S330" s="60"/>
      <c r="T330" s="60"/>
      <c r="U330" s="60"/>
      <c r="V330" s="60"/>
      <c r="W330" s="61">
        <f>SUM(S330:V330)</f>
        <v>0</v>
      </c>
      <c r="X330" s="60"/>
      <c r="Y330" s="60"/>
      <c r="Z330" s="60"/>
      <c r="AA330" s="60"/>
      <c r="AB330" s="61">
        <f>SUM(X330:AA330)</f>
        <v>0</v>
      </c>
      <c r="AC330" s="60"/>
      <c r="AD330" s="60"/>
      <c r="AE330" s="60"/>
      <c r="AF330" s="60"/>
      <c r="AG330" s="61">
        <f>SUM(AC330:AF330)</f>
        <v>0</v>
      </c>
      <c r="AH330" s="60">
        <v>2</v>
      </c>
      <c r="AI330" s="60"/>
      <c r="AJ330" s="60"/>
      <c r="AK330" s="60"/>
      <c r="AL330" s="61">
        <f>SUM(AH330:AK330)</f>
        <v>2</v>
      </c>
      <c r="AM330" s="68">
        <f t="shared" si="79"/>
        <v>3</v>
      </c>
    </row>
    <row r="331" spans="1:39" hidden="1" x14ac:dyDescent="0.35">
      <c r="A331" s="111"/>
      <c r="B331" s="54"/>
      <c r="C331" s="63" t="s">
        <v>235</v>
      </c>
      <c r="D331" s="63">
        <v>2</v>
      </c>
      <c r="E331" s="63"/>
      <c r="F331" s="63"/>
      <c r="G331" s="63"/>
      <c r="H331" s="61">
        <f>SUM(D331:G331)</f>
        <v>2</v>
      </c>
      <c r="I331" s="63"/>
      <c r="J331" s="63"/>
      <c r="K331" s="63"/>
      <c r="L331" s="63"/>
      <c r="M331" s="61">
        <f>SUM(I331:L331)</f>
        <v>0</v>
      </c>
      <c r="N331" s="63"/>
      <c r="O331" s="63"/>
      <c r="P331" s="63"/>
      <c r="Q331" s="63"/>
      <c r="R331" s="61">
        <f>SUM(N331:Q331)</f>
        <v>0</v>
      </c>
      <c r="S331" s="63"/>
      <c r="T331" s="63"/>
      <c r="U331" s="63"/>
      <c r="V331" s="63"/>
      <c r="W331" s="61">
        <f>SUM(S331:V331)</f>
        <v>0</v>
      </c>
      <c r="X331" s="63"/>
      <c r="Y331" s="63"/>
      <c r="Z331" s="63"/>
      <c r="AA331" s="63"/>
      <c r="AB331" s="61">
        <f>SUM(X331:AA331)</f>
        <v>0</v>
      </c>
      <c r="AC331" s="63"/>
      <c r="AD331" s="63"/>
      <c r="AE331" s="63"/>
      <c r="AF331" s="63"/>
      <c r="AG331" s="61">
        <f>SUM(AC331:AF331)</f>
        <v>0</v>
      </c>
      <c r="AH331" s="63"/>
      <c r="AI331" s="63"/>
      <c r="AJ331" s="63"/>
      <c r="AK331" s="63"/>
      <c r="AL331" s="61">
        <f>SUM(AH331:AK331)</f>
        <v>0</v>
      </c>
      <c r="AM331" s="68">
        <f t="shared" si="79"/>
        <v>2</v>
      </c>
    </row>
    <row r="332" spans="1:39" x14ac:dyDescent="0.35">
      <c r="A332" s="66" t="s">
        <v>344</v>
      </c>
      <c r="B332" s="67" t="s">
        <v>345</v>
      </c>
      <c r="C332" s="66"/>
      <c r="D332" s="66">
        <f t="shared" ref="D332:AL332" si="81">SUM(D328:D331)</f>
        <v>2</v>
      </c>
      <c r="E332" s="66">
        <f t="shared" si="81"/>
        <v>0</v>
      </c>
      <c r="F332" s="66">
        <f t="shared" si="81"/>
        <v>0</v>
      </c>
      <c r="G332" s="66">
        <f t="shared" si="81"/>
        <v>0</v>
      </c>
      <c r="H332" s="61">
        <f t="shared" si="81"/>
        <v>2</v>
      </c>
      <c r="I332" s="66">
        <f t="shared" si="81"/>
        <v>0</v>
      </c>
      <c r="J332" s="66">
        <f t="shared" si="81"/>
        <v>0</v>
      </c>
      <c r="K332" s="66">
        <f t="shared" si="81"/>
        <v>0</v>
      </c>
      <c r="L332" s="66">
        <f t="shared" si="81"/>
        <v>0</v>
      </c>
      <c r="M332" s="61">
        <f t="shared" si="81"/>
        <v>0</v>
      </c>
      <c r="N332" s="66">
        <f t="shared" si="81"/>
        <v>12</v>
      </c>
      <c r="O332" s="66">
        <f t="shared" si="81"/>
        <v>0</v>
      </c>
      <c r="P332" s="66">
        <f t="shared" si="81"/>
        <v>0</v>
      </c>
      <c r="Q332" s="66">
        <f t="shared" si="81"/>
        <v>0</v>
      </c>
      <c r="R332" s="61">
        <f t="shared" si="81"/>
        <v>12</v>
      </c>
      <c r="S332" s="66">
        <f t="shared" si="81"/>
        <v>0</v>
      </c>
      <c r="T332" s="66">
        <f t="shared" si="81"/>
        <v>0</v>
      </c>
      <c r="U332" s="66">
        <f t="shared" si="81"/>
        <v>0</v>
      </c>
      <c r="V332" s="66">
        <f t="shared" si="81"/>
        <v>0</v>
      </c>
      <c r="W332" s="61">
        <f t="shared" si="81"/>
        <v>0</v>
      </c>
      <c r="X332" s="66">
        <f t="shared" si="81"/>
        <v>0</v>
      </c>
      <c r="Y332" s="66">
        <f t="shared" si="81"/>
        <v>0</v>
      </c>
      <c r="Z332" s="66">
        <f t="shared" si="81"/>
        <v>0</v>
      </c>
      <c r="AA332" s="66">
        <f t="shared" si="81"/>
        <v>0</v>
      </c>
      <c r="AB332" s="61">
        <f t="shared" si="81"/>
        <v>0</v>
      </c>
      <c r="AC332" s="66">
        <f t="shared" si="81"/>
        <v>2</v>
      </c>
      <c r="AD332" s="66">
        <f t="shared" si="81"/>
        <v>0</v>
      </c>
      <c r="AE332" s="66">
        <f t="shared" si="81"/>
        <v>0</v>
      </c>
      <c r="AF332" s="66">
        <f t="shared" si="81"/>
        <v>0</v>
      </c>
      <c r="AG332" s="61">
        <f t="shared" si="81"/>
        <v>2</v>
      </c>
      <c r="AH332" s="66">
        <f t="shared" si="81"/>
        <v>4</v>
      </c>
      <c r="AI332" s="66">
        <f t="shared" si="81"/>
        <v>0</v>
      </c>
      <c r="AJ332" s="66">
        <f t="shared" si="81"/>
        <v>0</v>
      </c>
      <c r="AK332" s="66">
        <f t="shared" si="81"/>
        <v>0</v>
      </c>
      <c r="AL332" s="61">
        <f t="shared" si="81"/>
        <v>4</v>
      </c>
      <c r="AM332" s="68">
        <f t="shared" si="79"/>
        <v>20</v>
      </c>
    </row>
    <row r="333" spans="1:39" hidden="1" x14ac:dyDescent="0.35">
      <c r="A333" s="59" t="s">
        <v>347</v>
      </c>
      <c r="B333" s="54" t="s">
        <v>348</v>
      </c>
      <c r="C333" s="60" t="s">
        <v>225</v>
      </c>
      <c r="D333" s="60">
        <v>2</v>
      </c>
      <c r="E333" s="60"/>
      <c r="F333" s="60"/>
      <c r="G333" s="60"/>
      <c r="H333" s="61">
        <f>SUM(D333:G333)</f>
        <v>2</v>
      </c>
      <c r="I333" s="60">
        <v>2</v>
      </c>
      <c r="J333" s="60"/>
      <c r="K333" s="60"/>
      <c r="L333" s="60"/>
      <c r="M333" s="61">
        <f>SUM(I333:L333)</f>
        <v>2</v>
      </c>
      <c r="N333" s="60">
        <v>1</v>
      </c>
      <c r="O333" s="60"/>
      <c r="P333" s="60"/>
      <c r="Q333" s="60"/>
      <c r="R333" s="61">
        <f>SUM(N333:Q333)</f>
        <v>1</v>
      </c>
      <c r="S333" s="60"/>
      <c r="T333" s="60"/>
      <c r="U333" s="60"/>
      <c r="V333" s="60"/>
      <c r="W333" s="61">
        <f>SUM(S333:V333)</f>
        <v>0</v>
      </c>
      <c r="X333" s="60"/>
      <c r="Y333" s="60"/>
      <c r="Z333" s="60"/>
      <c r="AA333" s="60"/>
      <c r="AB333" s="61">
        <f>SUM(X333:AA333)</f>
        <v>0</v>
      </c>
      <c r="AC333" s="60"/>
      <c r="AD333" s="60"/>
      <c r="AE333" s="60"/>
      <c r="AF333" s="60"/>
      <c r="AG333" s="61">
        <f>SUM(AC333:AF333)</f>
        <v>0</v>
      </c>
      <c r="AH333" s="60"/>
      <c r="AI333" s="60"/>
      <c r="AJ333" s="60"/>
      <c r="AK333" s="60"/>
      <c r="AL333" s="61">
        <f>SUM(AH333:AK333)</f>
        <v>0</v>
      </c>
      <c r="AM333" s="68">
        <f t="shared" si="79"/>
        <v>5</v>
      </c>
    </row>
    <row r="334" spans="1:39" hidden="1" x14ac:dyDescent="0.35">
      <c r="A334" s="111" t="s">
        <v>349</v>
      </c>
      <c r="B334" s="54"/>
      <c r="C334" s="63" t="s">
        <v>227</v>
      </c>
      <c r="D334" s="63">
        <v>3</v>
      </c>
      <c r="E334" s="63"/>
      <c r="F334" s="63"/>
      <c r="G334" s="63"/>
      <c r="H334" s="61">
        <f>SUM(D334:G334)</f>
        <v>3</v>
      </c>
      <c r="I334" s="63">
        <v>1</v>
      </c>
      <c r="J334" s="63"/>
      <c r="K334" s="63"/>
      <c r="L334" s="63"/>
      <c r="M334" s="61">
        <f>SUM(I334:L334)</f>
        <v>1</v>
      </c>
      <c r="N334" s="63">
        <v>2</v>
      </c>
      <c r="O334" s="63"/>
      <c r="P334" s="63"/>
      <c r="Q334" s="63"/>
      <c r="R334" s="61">
        <f>SUM(N334:Q334)</f>
        <v>2</v>
      </c>
      <c r="S334" s="63"/>
      <c r="T334" s="63"/>
      <c r="U334" s="63"/>
      <c r="V334" s="63"/>
      <c r="W334" s="61">
        <f>SUM(S334:V334)</f>
        <v>0</v>
      </c>
      <c r="X334" s="63"/>
      <c r="Y334" s="63"/>
      <c r="Z334" s="63"/>
      <c r="AA334" s="63"/>
      <c r="AB334" s="61">
        <f>SUM(X334:AA334)</f>
        <v>0</v>
      </c>
      <c r="AC334" s="63"/>
      <c r="AD334" s="63"/>
      <c r="AE334" s="63"/>
      <c r="AF334" s="63"/>
      <c r="AG334" s="61">
        <f>SUM(AC334:AF334)</f>
        <v>0</v>
      </c>
      <c r="AH334" s="63"/>
      <c r="AI334" s="63"/>
      <c r="AJ334" s="63"/>
      <c r="AK334" s="63"/>
      <c r="AL334" s="61">
        <f>SUM(AH334:AK334)</f>
        <v>0</v>
      </c>
      <c r="AM334" s="68">
        <f t="shared" si="79"/>
        <v>6</v>
      </c>
    </row>
    <row r="335" spans="1:39" hidden="1" x14ac:dyDescent="0.35">
      <c r="A335" s="111"/>
      <c r="B335" s="54"/>
      <c r="C335" s="60" t="s">
        <v>228</v>
      </c>
      <c r="D335" s="60">
        <v>3</v>
      </c>
      <c r="E335" s="60"/>
      <c r="F335" s="60"/>
      <c r="G335" s="60"/>
      <c r="H335" s="61">
        <f>SUM(D335:G335)</f>
        <v>3</v>
      </c>
      <c r="I335" s="60">
        <v>2</v>
      </c>
      <c r="J335" s="60"/>
      <c r="K335" s="60"/>
      <c r="L335" s="60"/>
      <c r="M335" s="61">
        <f>SUM(I335:L335)</f>
        <v>2</v>
      </c>
      <c r="N335" s="60">
        <v>2</v>
      </c>
      <c r="O335" s="60"/>
      <c r="P335" s="60"/>
      <c r="Q335" s="60"/>
      <c r="R335" s="61">
        <f>SUM(N335:Q335)</f>
        <v>2</v>
      </c>
      <c r="S335" s="60"/>
      <c r="T335" s="60"/>
      <c r="U335" s="60"/>
      <c r="V335" s="60"/>
      <c r="W335" s="61">
        <f>SUM(S335:V335)</f>
        <v>0</v>
      </c>
      <c r="X335" s="60"/>
      <c r="Y335" s="60"/>
      <c r="Z335" s="60"/>
      <c r="AA335" s="60"/>
      <c r="AB335" s="61">
        <f>SUM(X335:AA335)</f>
        <v>0</v>
      </c>
      <c r="AC335" s="60"/>
      <c r="AD335" s="60"/>
      <c r="AE335" s="60"/>
      <c r="AF335" s="60"/>
      <c r="AG335" s="61">
        <f>SUM(AC335:AF335)</f>
        <v>0</v>
      </c>
      <c r="AH335" s="60"/>
      <c r="AI335" s="60"/>
      <c r="AJ335" s="60"/>
      <c r="AK335" s="60"/>
      <c r="AL335" s="61">
        <f>SUM(AH335:AK335)</f>
        <v>0</v>
      </c>
      <c r="AM335" s="68">
        <f t="shared" si="79"/>
        <v>7</v>
      </c>
    </row>
    <row r="336" spans="1:39" hidden="1" x14ac:dyDescent="0.35">
      <c r="A336" s="111"/>
      <c r="B336" s="54"/>
      <c r="C336" s="63" t="s">
        <v>235</v>
      </c>
      <c r="D336" s="63">
        <v>8</v>
      </c>
      <c r="E336" s="63"/>
      <c r="F336" s="63"/>
      <c r="G336" s="63"/>
      <c r="H336" s="61">
        <f>SUM(D336:G336)</f>
        <v>8</v>
      </c>
      <c r="I336" s="63"/>
      <c r="J336" s="63"/>
      <c r="K336" s="63"/>
      <c r="L336" s="63"/>
      <c r="M336" s="61">
        <f>SUM(I336:L336)</f>
        <v>0</v>
      </c>
      <c r="N336" s="63">
        <v>4</v>
      </c>
      <c r="O336" s="63"/>
      <c r="P336" s="63"/>
      <c r="Q336" s="63"/>
      <c r="R336" s="61">
        <f>SUM(N336:Q336)</f>
        <v>4</v>
      </c>
      <c r="S336" s="63"/>
      <c r="T336" s="63"/>
      <c r="U336" s="63"/>
      <c r="V336" s="63"/>
      <c r="W336" s="61">
        <f>SUM(S336:V336)</f>
        <v>0</v>
      </c>
      <c r="X336" s="63"/>
      <c r="Y336" s="63"/>
      <c r="Z336" s="63"/>
      <c r="AA336" s="63"/>
      <c r="AB336" s="61">
        <f>SUM(X336:AA336)</f>
        <v>0</v>
      </c>
      <c r="AC336" s="63"/>
      <c r="AD336" s="63"/>
      <c r="AE336" s="63"/>
      <c r="AF336" s="63"/>
      <c r="AG336" s="61">
        <f>SUM(AC336:AF336)</f>
        <v>0</v>
      </c>
      <c r="AH336" s="63"/>
      <c r="AI336" s="63"/>
      <c r="AJ336" s="63"/>
      <c r="AK336" s="63"/>
      <c r="AL336" s="61">
        <f>SUM(AH336:AK336)</f>
        <v>0</v>
      </c>
      <c r="AM336" s="68">
        <f t="shared" si="79"/>
        <v>12</v>
      </c>
    </row>
    <row r="337" spans="1:39" x14ac:dyDescent="0.35">
      <c r="A337" s="66" t="s">
        <v>347</v>
      </c>
      <c r="B337" s="67" t="s">
        <v>348</v>
      </c>
      <c r="C337" s="66"/>
      <c r="D337" s="66">
        <f t="shared" ref="D337:AL337" si="82">SUM(D333:D336)</f>
        <v>16</v>
      </c>
      <c r="E337" s="66">
        <f t="shared" si="82"/>
        <v>0</v>
      </c>
      <c r="F337" s="66">
        <f t="shared" si="82"/>
        <v>0</v>
      </c>
      <c r="G337" s="66">
        <f t="shared" si="82"/>
        <v>0</v>
      </c>
      <c r="H337" s="61">
        <f t="shared" si="82"/>
        <v>16</v>
      </c>
      <c r="I337" s="66">
        <f t="shared" si="82"/>
        <v>5</v>
      </c>
      <c r="J337" s="66">
        <f t="shared" si="82"/>
        <v>0</v>
      </c>
      <c r="K337" s="66">
        <f t="shared" si="82"/>
        <v>0</v>
      </c>
      <c r="L337" s="66">
        <f t="shared" si="82"/>
        <v>0</v>
      </c>
      <c r="M337" s="61">
        <f t="shared" si="82"/>
        <v>5</v>
      </c>
      <c r="N337" s="66">
        <f t="shared" si="82"/>
        <v>9</v>
      </c>
      <c r="O337" s="66">
        <f t="shared" si="82"/>
        <v>0</v>
      </c>
      <c r="P337" s="66">
        <f t="shared" si="82"/>
        <v>0</v>
      </c>
      <c r="Q337" s="66">
        <f t="shared" si="82"/>
        <v>0</v>
      </c>
      <c r="R337" s="61">
        <f t="shared" si="82"/>
        <v>9</v>
      </c>
      <c r="S337" s="66">
        <f t="shared" si="82"/>
        <v>0</v>
      </c>
      <c r="T337" s="66">
        <f t="shared" si="82"/>
        <v>0</v>
      </c>
      <c r="U337" s="66">
        <f t="shared" si="82"/>
        <v>0</v>
      </c>
      <c r="V337" s="66">
        <f t="shared" si="82"/>
        <v>0</v>
      </c>
      <c r="W337" s="61">
        <f t="shared" si="82"/>
        <v>0</v>
      </c>
      <c r="X337" s="66">
        <f t="shared" si="82"/>
        <v>0</v>
      </c>
      <c r="Y337" s="66">
        <f t="shared" si="82"/>
        <v>0</v>
      </c>
      <c r="Z337" s="66">
        <f t="shared" si="82"/>
        <v>0</v>
      </c>
      <c r="AA337" s="66">
        <f t="shared" si="82"/>
        <v>0</v>
      </c>
      <c r="AB337" s="61">
        <f t="shared" si="82"/>
        <v>0</v>
      </c>
      <c r="AC337" s="66">
        <f t="shared" si="82"/>
        <v>0</v>
      </c>
      <c r="AD337" s="66">
        <f t="shared" si="82"/>
        <v>0</v>
      </c>
      <c r="AE337" s="66">
        <f t="shared" si="82"/>
        <v>0</v>
      </c>
      <c r="AF337" s="66">
        <f t="shared" si="82"/>
        <v>0</v>
      </c>
      <c r="AG337" s="61">
        <f t="shared" si="82"/>
        <v>0</v>
      </c>
      <c r="AH337" s="66">
        <f t="shared" si="82"/>
        <v>0</v>
      </c>
      <c r="AI337" s="66">
        <f t="shared" si="82"/>
        <v>0</v>
      </c>
      <c r="AJ337" s="66">
        <f t="shared" si="82"/>
        <v>0</v>
      </c>
      <c r="AK337" s="66">
        <f t="shared" si="82"/>
        <v>0</v>
      </c>
      <c r="AL337" s="61">
        <f t="shared" si="82"/>
        <v>0</v>
      </c>
      <c r="AM337" s="68">
        <f t="shared" si="79"/>
        <v>30</v>
      </c>
    </row>
    <row r="338" spans="1:39" hidden="1" x14ac:dyDescent="0.35">
      <c r="A338" s="59" t="s">
        <v>350</v>
      </c>
      <c r="B338" s="54" t="s">
        <v>351</v>
      </c>
      <c r="C338" s="60" t="s">
        <v>225</v>
      </c>
      <c r="D338" s="60">
        <v>4</v>
      </c>
      <c r="E338" s="60">
        <v>2</v>
      </c>
      <c r="F338" s="60"/>
      <c r="G338" s="60"/>
      <c r="H338" s="61">
        <f>SUM(D338:G338)</f>
        <v>6</v>
      </c>
      <c r="I338" s="60"/>
      <c r="J338" s="60"/>
      <c r="K338" s="60"/>
      <c r="L338" s="60"/>
      <c r="M338" s="61">
        <f>SUM(I338:L338)</f>
        <v>0</v>
      </c>
      <c r="N338" s="60"/>
      <c r="O338" s="60"/>
      <c r="P338" s="60"/>
      <c r="Q338" s="60"/>
      <c r="R338" s="61">
        <f>SUM(N338:Q338)</f>
        <v>0</v>
      </c>
      <c r="S338" s="60"/>
      <c r="T338" s="60"/>
      <c r="U338" s="60"/>
      <c r="V338" s="60"/>
      <c r="W338" s="61">
        <f>SUM(S338:V338)</f>
        <v>0</v>
      </c>
      <c r="X338" s="60"/>
      <c r="Y338" s="60"/>
      <c r="Z338" s="60"/>
      <c r="AA338" s="60"/>
      <c r="AB338" s="61">
        <f>SUM(X338:AA338)</f>
        <v>0</v>
      </c>
      <c r="AC338" s="60"/>
      <c r="AD338" s="60"/>
      <c r="AE338" s="60"/>
      <c r="AF338" s="60"/>
      <c r="AG338" s="61">
        <f>SUM(AC338:AF338)</f>
        <v>0</v>
      </c>
      <c r="AH338" s="60"/>
      <c r="AI338" s="60"/>
      <c r="AJ338" s="60"/>
      <c r="AK338" s="60"/>
      <c r="AL338" s="61">
        <f>SUM(AH338:AK338)</f>
        <v>0</v>
      </c>
      <c r="AM338" s="68">
        <f t="shared" si="79"/>
        <v>6</v>
      </c>
    </row>
    <row r="339" spans="1:39" hidden="1" x14ac:dyDescent="0.35">
      <c r="A339" s="111" t="s">
        <v>278</v>
      </c>
      <c r="B339" s="54"/>
      <c r="C339" s="63" t="s">
        <v>227</v>
      </c>
      <c r="D339" s="63">
        <v>16</v>
      </c>
      <c r="E339" s="63">
        <v>1</v>
      </c>
      <c r="F339" s="63"/>
      <c r="G339" s="63"/>
      <c r="H339" s="61">
        <f>SUM(D339:G339)</f>
        <v>17</v>
      </c>
      <c r="I339" s="63"/>
      <c r="J339" s="63"/>
      <c r="K339" s="63"/>
      <c r="L339" s="63"/>
      <c r="M339" s="61">
        <f>SUM(I339:L339)</f>
        <v>0</v>
      </c>
      <c r="N339" s="63">
        <v>1</v>
      </c>
      <c r="O339" s="63">
        <v>1</v>
      </c>
      <c r="P339" s="63"/>
      <c r="Q339" s="63"/>
      <c r="R339" s="61">
        <f>SUM(N339:Q339)</f>
        <v>2</v>
      </c>
      <c r="S339" s="63"/>
      <c r="T339" s="63"/>
      <c r="U339" s="63"/>
      <c r="V339" s="63"/>
      <c r="W339" s="61">
        <f>SUM(S339:V339)</f>
        <v>0</v>
      </c>
      <c r="X339" s="63"/>
      <c r="Y339" s="63"/>
      <c r="Z339" s="63"/>
      <c r="AA339" s="63"/>
      <c r="AB339" s="61">
        <f>SUM(X339:AA339)</f>
        <v>0</v>
      </c>
      <c r="AC339" s="63"/>
      <c r="AD339" s="63"/>
      <c r="AE339" s="63"/>
      <c r="AF339" s="63"/>
      <c r="AG339" s="61">
        <f>SUM(AC339:AF339)</f>
        <v>0</v>
      </c>
      <c r="AH339" s="63"/>
      <c r="AI339" s="63"/>
      <c r="AJ339" s="63"/>
      <c r="AK339" s="63"/>
      <c r="AL339" s="61">
        <f>SUM(AH339:AK339)</f>
        <v>0</v>
      </c>
      <c r="AM339" s="68">
        <f t="shared" si="79"/>
        <v>19</v>
      </c>
    </row>
    <row r="340" spans="1:39" hidden="1" x14ac:dyDescent="0.35">
      <c r="A340" s="111"/>
      <c r="B340" s="54"/>
      <c r="C340" s="60" t="s">
        <v>228</v>
      </c>
      <c r="D340" s="60">
        <v>14</v>
      </c>
      <c r="E340" s="60">
        <v>1</v>
      </c>
      <c r="F340" s="60"/>
      <c r="G340" s="60"/>
      <c r="H340" s="61">
        <f>SUM(D340:G340)</f>
        <v>15</v>
      </c>
      <c r="I340" s="60"/>
      <c r="J340" s="60"/>
      <c r="K340" s="60"/>
      <c r="L340" s="60"/>
      <c r="M340" s="61">
        <f>SUM(I340:L340)</f>
        <v>0</v>
      </c>
      <c r="N340" s="60"/>
      <c r="O340" s="60"/>
      <c r="P340" s="60"/>
      <c r="Q340" s="60"/>
      <c r="R340" s="61">
        <f>SUM(N340:Q340)</f>
        <v>0</v>
      </c>
      <c r="S340" s="60"/>
      <c r="T340" s="60"/>
      <c r="U340" s="60"/>
      <c r="V340" s="60"/>
      <c r="W340" s="61">
        <f>SUM(S340:V340)</f>
        <v>0</v>
      </c>
      <c r="X340" s="60"/>
      <c r="Y340" s="60"/>
      <c r="Z340" s="60"/>
      <c r="AA340" s="60"/>
      <c r="AB340" s="61">
        <f>SUM(X340:AA340)</f>
        <v>0</v>
      </c>
      <c r="AC340" s="60"/>
      <c r="AD340" s="60"/>
      <c r="AE340" s="60"/>
      <c r="AF340" s="60"/>
      <c r="AG340" s="61">
        <f>SUM(AC340:AF340)</f>
        <v>0</v>
      </c>
      <c r="AH340" s="60"/>
      <c r="AI340" s="60"/>
      <c r="AJ340" s="60"/>
      <c r="AK340" s="60"/>
      <c r="AL340" s="61">
        <f>SUM(AH340:AK340)</f>
        <v>0</v>
      </c>
      <c r="AM340" s="68">
        <f t="shared" si="79"/>
        <v>15</v>
      </c>
    </row>
    <row r="341" spans="1:39" hidden="1" x14ac:dyDescent="0.35">
      <c r="A341" s="111"/>
      <c r="B341" s="54"/>
      <c r="C341" s="63" t="s">
        <v>235</v>
      </c>
      <c r="D341" s="63">
        <v>10</v>
      </c>
      <c r="E341" s="63">
        <v>1</v>
      </c>
      <c r="F341" s="63"/>
      <c r="G341" s="63"/>
      <c r="H341" s="61">
        <f>SUM(D341:G341)</f>
        <v>11</v>
      </c>
      <c r="I341" s="63"/>
      <c r="J341" s="63"/>
      <c r="K341" s="63"/>
      <c r="L341" s="63"/>
      <c r="M341" s="61">
        <f>SUM(I341:L341)</f>
        <v>0</v>
      </c>
      <c r="N341" s="63"/>
      <c r="O341" s="63"/>
      <c r="P341" s="63"/>
      <c r="Q341" s="63"/>
      <c r="R341" s="61">
        <f>SUM(N341:Q341)</f>
        <v>0</v>
      </c>
      <c r="S341" s="63"/>
      <c r="T341" s="63"/>
      <c r="U341" s="63"/>
      <c r="V341" s="63"/>
      <c r="W341" s="61">
        <f>SUM(S341:V341)</f>
        <v>0</v>
      </c>
      <c r="X341" s="63"/>
      <c r="Y341" s="63"/>
      <c r="Z341" s="63"/>
      <c r="AA341" s="63"/>
      <c r="AB341" s="61">
        <f>SUM(X341:AA341)</f>
        <v>0</v>
      </c>
      <c r="AC341" s="63"/>
      <c r="AD341" s="63"/>
      <c r="AE341" s="63"/>
      <c r="AF341" s="63"/>
      <c r="AG341" s="61">
        <f>SUM(AC341:AF341)</f>
        <v>0</v>
      </c>
      <c r="AH341" s="63"/>
      <c r="AI341" s="63"/>
      <c r="AJ341" s="63"/>
      <c r="AK341" s="63"/>
      <c r="AL341" s="61">
        <f>SUM(AH341:AK341)</f>
        <v>0</v>
      </c>
      <c r="AM341" s="68">
        <f t="shared" si="79"/>
        <v>11</v>
      </c>
    </row>
    <row r="342" spans="1:39" hidden="1" x14ac:dyDescent="0.35">
      <c r="A342" s="66" t="s">
        <v>352</v>
      </c>
      <c r="B342" s="67"/>
      <c r="C342" s="66"/>
      <c r="D342" s="66">
        <f t="shared" ref="D342:AL342" si="83">SUM(D338:D341)</f>
        <v>44</v>
      </c>
      <c r="E342" s="66">
        <f t="shared" si="83"/>
        <v>5</v>
      </c>
      <c r="F342" s="66">
        <f t="shared" si="83"/>
        <v>0</v>
      </c>
      <c r="G342" s="66">
        <f t="shared" si="83"/>
        <v>0</v>
      </c>
      <c r="H342" s="61">
        <f t="shared" si="83"/>
        <v>49</v>
      </c>
      <c r="I342" s="66">
        <f t="shared" si="83"/>
        <v>0</v>
      </c>
      <c r="J342" s="66">
        <f t="shared" si="83"/>
        <v>0</v>
      </c>
      <c r="K342" s="66">
        <f t="shared" si="83"/>
        <v>0</v>
      </c>
      <c r="L342" s="66">
        <f t="shared" si="83"/>
        <v>0</v>
      </c>
      <c r="M342" s="61">
        <f t="shared" si="83"/>
        <v>0</v>
      </c>
      <c r="N342" s="66">
        <f t="shared" si="83"/>
        <v>1</v>
      </c>
      <c r="O342" s="66">
        <f t="shared" si="83"/>
        <v>1</v>
      </c>
      <c r="P342" s="66">
        <f t="shared" si="83"/>
        <v>0</v>
      </c>
      <c r="Q342" s="66">
        <f t="shared" si="83"/>
        <v>0</v>
      </c>
      <c r="R342" s="61">
        <f t="shared" si="83"/>
        <v>2</v>
      </c>
      <c r="S342" s="66">
        <f t="shared" si="83"/>
        <v>0</v>
      </c>
      <c r="T342" s="66">
        <f t="shared" si="83"/>
        <v>0</v>
      </c>
      <c r="U342" s="66">
        <f t="shared" si="83"/>
        <v>0</v>
      </c>
      <c r="V342" s="66">
        <f t="shared" si="83"/>
        <v>0</v>
      </c>
      <c r="W342" s="61">
        <f t="shared" si="83"/>
        <v>0</v>
      </c>
      <c r="X342" s="66">
        <f t="shared" si="83"/>
        <v>0</v>
      </c>
      <c r="Y342" s="66">
        <f t="shared" si="83"/>
        <v>0</v>
      </c>
      <c r="Z342" s="66">
        <f t="shared" si="83"/>
        <v>0</v>
      </c>
      <c r="AA342" s="66">
        <f t="shared" si="83"/>
        <v>0</v>
      </c>
      <c r="AB342" s="61">
        <f t="shared" si="83"/>
        <v>0</v>
      </c>
      <c r="AC342" s="66">
        <f t="shared" si="83"/>
        <v>0</v>
      </c>
      <c r="AD342" s="66">
        <f t="shared" si="83"/>
        <v>0</v>
      </c>
      <c r="AE342" s="66">
        <f t="shared" si="83"/>
        <v>0</v>
      </c>
      <c r="AF342" s="66">
        <f t="shared" si="83"/>
        <v>0</v>
      </c>
      <c r="AG342" s="61">
        <f t="shared" si="83"/>
        <v>0</v>
      </c>
      <c r="AH342" s="66">
        <f t="shared" si="83"/>
        <v>0</v>
      </c>
      <c r="AI342" s="66">
        <f t="shared" si="83"/>
        <v>0</v>
      </c>
      <c r="AJ342" s="66">
        <f t="shared" si="83"/>
        <v>0</v>
      </c>
      <c r="AK342" s="66">
        <f t="shared" si="83"/>
        <v>0</v>
      </c>
      <c r="AL342" s="61">
        <f t="shared" si="83"/>
        <v>0</v>
      </c>
      <c r="AM342" s="68">
        <f t="shared" si="79"/>
        <v>51</v>
      </c>
    </row>
    <row r="343" spans="1:39" hidden="1" x14ac:dyDescent="0.35">
      <c r="A343" s="111" t="s">
        <v>249</v>
      </c>
      <c r="B343" s="54"/>
      <c r="C343" s="60" t="s">
        <v>225</v>
      </c>
      <c r="D343" s="60">
        <v>3</v>
      </c>
      <c r="E343" s="60"/>
      <c r="F343" s="60"/>
      <c r="G343" s="60"/>
      <c r="H343" s="61">
        <f>SUM(D343:G343)</f>
        <v>3</v>
      </c>
      <c r="I343" s="60"/>
      <c r="J343" s="60"/>
      <c r="K343" s="60"/>
      <c r="L343" s="60"/>
      <c r="M343" s="61">
        <f>SUM(I343:L343)</f>
        <v>0</v>
      </c>
      <c r="N343" s="60">
        <v>3</v>
      </c>
      <c r="O343" s="60"/>
      <c r="P343" s="60"/>
      <c r="Q343" s="60"/>
      <c r="R343" s="61">
        <f>SUM(N343:Q343)</f>
        <v>3</v>
      </c>
      <c r="S343" s="60"/>
      <c r="T343" s="60"/>
      <c r="U343" s="60"/>
      <c r="V343" s="60"/>
      <c r="W343" s="61">
        <f>SUM(S343:V343)</f>
        <v>0</v>
      </c>
      <c r="X343" s="60"/>
      <c r="Y343" s="60"/>
      <c r="Z343" s="60"/>
      <c r="AA343" s="60"/>
      <c r="AB343" s="61">
        <f>SUM(X343:AA343)</f>
        <v>0</v>
      </c>
      <c r="AC343" s="60"/>
      <c r="AD343" s="60"/>
      <c r="AE343" s="60"/>
      <c r="AF343" s="60"/>
      <c r="AG343" s="61">
        <f>SUM(AC343:AF343)</f>
        <v>0</v>
      </c>
      <c r="AH343" s="60"/>
      <c r="AI343" s="60"/>
      <c r="AJ343" s="60"/>
      <c r="AK343" s="60"/>
      <c r="AL343" s="61">
        <f>SUM(AH343:AK343)</f>
        <v>0</v>
      </c>
      <c r="AM343" s="68">
        <f t="shared" si="79"/>
        <v>6</v>
      </c>
    </row>
    <row r="344" spans="1:39" hidden="1" x14ac:dyDescent="0.35">
      <c r="A344" s="111"/>
      <c r="B344" s="54"/>
      <c r="C344" s="63" t="s">
        <v>227</v>
      </c>
      <c r="D344" s="63"/>
      <c r="E344" s="63"/>
      <c r="F344" s="63"/>
      <c r="G344" s="63"/>
      <c r="H344" s="61">
        <f>SUM(D344:G344)</f>
        <v>0</v>
      </c>
      <c r="I344" s="63"/>
      <c r="J344" s="63"/>
      <c r="K344" s="63"/>
      <c r="L344" s="63"/>
      <c r="M344" s="61">
        <f>SUM(I344:L344)</f>
        <v>0</v>
      </c>
      <c r="N344" s="63"/>
      <c r="O344" s="63"/>
      <c r="P344" s="63"/>
      <c r="Q344" s="63"/>
      <c r="R344" s="61">
        <f>SUM(N344:Q344)</f>
        <v>0</v>
      </c>
      <c r="S344" s="63"/>
      <c r="T344" s="63"/>
      <c r="U344" s="63"/>
      <c r="V344" s="63"/>
      <c r="W344" s="61">
        <f>SUM(S344:V344)</f>
        <v>0</v>
      </c>
      <c r="X344" s="63"/>
      <c r="Y344" s="63"/>
      <c r="Z344" s="63"/>
      <c r="AA344" s="63"/>
      <c r="AB344" s="61">
        <f>SUM(X344:AA344)</f>
        <v>0</v>
      </c>
      <c r="AC344" s="63"/>
      <c r="AD344" s="63"/>
      <c r="AE344" s="63"/>
      <c r="AF344" s="63"/>
      <c r="AG344" s="61">
        <f>SUM(AC344:AF344)</f>
        <v>0</v>
      </c>
      <c r="AH344" s="63">
        <v>1</v>
      </c>
      <c r="AI344" s="63">
        <v>1</v>
      </c>
      <c r="AJ344" s="63"/>
      <c r="AK344" s="63"/>
      <c r="AL344" s="61">
        <f>SUM(AH344:AK344)</f>
        <v>2</v>
      </c>
      <c r="AM344" s="68">
        <f t="shared" si="79"/>
        <v>2</v>
      </c>
    </row>
    <row r="345" spans="1:39" hidden="1" x14ac:dyDescent="0.35">
      <c r="A345" s="111"/>
      <c r="B345" s="54"/>
      <c r="C345" s="60" t="s">
        <v>228</v>
      </c>
      <c r="D345" s="60">
        <v>7</v>
      </c>
      <c r="E345" s="60"/>
      <c r="F345" s="60"/>
      <c r="G345" s="60"/>
      <c r="H345" s="61">
        <f>SUM(D345:G345)</f>
        <v>7</v>
      </c>
      <c r="I345" s="60"/>
      <c r="J345" s="60"/>
      <c r="K345" s="60"/>
      <c r="L345" s="60"/>
      <c r="M345" s="61">
        <f>SUM(I345:L345)</f>
        <v>0</v>
      </c>
      <c r="N345" s="60">
        <v>1</v>
      </c>
      <c r="O345" s="60"/>
      <c r="P345" s="60"/>
      <c r="Q345" s="60"/>
      <c r="R345" s="61">
        <f>SUM(N345:Q345)</f>
        <v>1</v>
      </c>
      <c r="S345" s="60"/>
      <c r="T345" s="60"/>
      <c r="U345" s="60"/>
      <c r="V345" s="60"/>
      <c r="W345" s="61">
        <f>SUM(S345:V345)</f>
        <v>0</v>
      </c>
      <c r="X345" s="60"/>
      <c r="Y345" s="60"/>
      <c r="Z345" s="60"/>
      <c r="AA345" s="60"/>
      <c r="AB345" s="61">
        <f>SUM(X345:AA345)</f>
        <v>0</v>
      </c>
      <c r="AC345" s="60"/>
      <c r="AD345" s="60"/>
      <c r="AE345" s="60"/>
      <c r="AF345" s="60"/>
      <c r="AG345" s="61">
        <f>SUM(AC345:AF345)</f>
        <v>0</v>
      </c>
      <c r="AH345" s="60"/>
      <c r="AI345" s="60"/>
      <c r="AJ345" s="60"/>
      <c r="AK345" s="60"/>
      <c r="AL345" s="61">
        <f>SUM(AH345:AK345)</f>
        <v>0</v>
      </c>
      <c r="AM345" s="68">
        <f t="shared" si="79"/>
        <v>8</v>
      </c>
    </row>
    <row r="346" spans="1:39" hidden="1" x14ac:dyDescent="0.35">
      <c r="A346" s="111"/>
      <c r="B346" s="54"/>
      <c r="C346" s="63" t="s">
        <v>235</v>
      </c>
      <c r="D346" s="63"/>
      <c r="E346" s="63">
        <v>1</v>
      </c>
      <c r="F346" s="63"/>
      <c r="G346" s="63"/>
      <c r="H346" s="61">
        <f>SUM(D346:G346)</f>
        <v>1</v>
      </c>
      <c r="I346" s="63">
        <v>1</v>
      </c>
      <c r="J346" s="63"/>
      <c r="K346" s="63"/>
      <c r="L346" s="63"/>
      <c r="M346" s="61">
        <f>SUM(I346:L346)</f>
        <v>1</v>
      </c>
      <c r="N346" s="63"/>
      <c r="O346" s="63"/>
      <c r="P346" s="63"/>
      <c r="Q346" s="63"/>
      <c r="R346" s="61">
        <f>SUM(N346:Q346)</f>
        <v>0</v>
      </c>
      <c r="S346" s="63"/>
      <c r="T346" s="63"/>
      <c r="U346" s="63"/>
      <c r="V346" s="63"/>
      <c r="W346" s="61">
        <f>SUM(S346:V346)</f>
        <v>0</v>
      </c>
      <c r="X346" s="63"/>
      <c r="Y346" s="63"/>
      <c r="Z346" s="63"/>
      <c r="AA346" s="63"/>
      <c r="AB346" s="61">
        <f>SUM(X346:AA346)</f>
        <v>0</v>
      </c>
      <c r="AC346" s="63"/>
      <c r="AD346" s="63"/>
      <c r="AE346" s="63"/>
      <c r="AF346" s="63"/>
      <c r="AG346" s="61">
        <f>SUM(AC346:AF346)</f>
        <v>0</v>
      </c>
      <c r="AH346" s="63">
        <v>12</v>
      </c>
      <c r="AI346" s="63"/>
      <c r="AJ346" s="63"/>
      <c r="AK346" s="63"/>
      <c r="AL346" s="61">
        <f>SUM(AH346:AK346)</f>
        <v>12</v>
      </c>
      <c r="AM346" s="68">
        <f t="shared" si="79"/>
        <v>14</v>
      </c>
    </row>
    <row r="347" spans="1:39" hidden="1" x14ac:dyDescent="0.35">
      <c r="A347" s="76" t="s">
        <v>249</v>
      </c>
      <c r="B347" s="67"/>
      <c r="C347" s="66"/>
      <c r="D347" s="66">
        <f t="shared" ref="D347:AL347" si="84">SUM(D343:D346)</f>
        <v>10</v>
      </c>
      <c r="E347" s="66">
        <f t="shared" si="84"/>
        <v>1</v>
      </c>
      <c r="F347" s="66">
        <f t="shared" si="84"/>
        <v>0</v>
      </c>
      <c r="G347" s="66">
        <f t="shared" si="84"/>
        <v>0</v>
      </c>
      <c r="H347" s="61">
        <f t="shared" si="84"/>
        <v>11</v>
      </c>
      <c r="I347" s="66">
        <f t="shared" si="84"/>
        <v>1</v>
      </c>
      <c r="J347" s="66">
        <f t="shared" si="84"/>
        <v>0</v>
      </c>
      <c r="K347" s="66">
        <f t="shared" si="84"/>
        <v>0</v>
      </c>
      <c r="L347" s="66">
        <f t="shared" si="84"/>
        <v>0</v>
      </c>
      <c r="M347" s="61">
        <f t="shared" si="84"/>
        <v>1</v>
      </c>
      <c r="N347" s="66">
        <f t="shared" si="84"/>
        <v>4</v>
      </c>
      <c r="O347" s="66">
        <f t="shared" si="84"/>
        <v>0</v>
      </c>
      <c r="P347" s="66">
        <f t="shared" si="84"/>
        <v>0</v>
      </c>
      <c r="Q347" s="66">
        <f t="shared" si="84"/>
        <v>0</v>
      </c>
      <c r="R347" s="61">
        <f t="shared" si="84"/>
        <v>4</v>
      </c>
      <c r="S347" s="66">
        <f t="shared" si="84"/>
        <v>0</v>
      </c>
      <c r="T347" s="66">
        <f t="shared" si="84"/>
        <v>0</v>
      </c>
      <c r="U347" s="66">
        <f t="shared" si="84"/>
        <v>0</v>
      </c>
      <c r="V347" s="66">
        <f t="shared" si="84"/>
        <v>0</v>
      </c>
      <c r="W347" s="61">
        <f t="shared" si="84"/>
        <v>0</v>
      </c>
      <c r="X347" s="66">
        <f t="shared" si="84"/>
        <v>0</v>
      </c>
      <c r="Y347" s="66">
        <f t="shared" si="84"/>
        <v>0</v>
      </c>
      <c r="Z347" s="66">
        <f t="shared" si="84"/>
        <v>0</v>
      </c>
      <c r="AA347" s="66">
        <f t="shared" si="84"/>
        <v>0</v>
      </c>
      <c r="AB347" s="61">
        <f t="shared" si="84"/>
        <v>0</v>
      </c>
      <c r="AC347" s="66">
        <f t="shared" si="84"/>
        <v>0</v>
      </c>
      <c r="AD347" s="66">
        <f t="shared" si="84"/>
        <v>0</v>
      </c>
      <c r="AE347" s="66">
        <f t="shared" si="84"/>
        <v>0</v>
      </c>
      <c r="AF347" s="66">
        <f t="shared" si="84"/>
        <v>0</v>
      </c>
      <c r="AG347" s="61">
        <f t="shared" si="84"/>
        <v>0</v>
      </c>
      <c r="AH347" s="66">
        <f t="shared" si="84"/>
        <v>13</v>
      </c>
      <c r="AI347" s="66">
        <f t="shared" si="84"/>
        <v>1</v>
      </c>
      <c r="AJ347" s="66">
        <f t="shared" si="84"/>
        <v>0</v>
      </c>
      <c r="AK347" s="66">
        <f t="shared" si="84"/>
        <v>0</v>
      </c>
      <c r="AL347" s="61">
        <f t="shared" si="84"/>
        <v>14</v>
      </c>
      <c r="AM347" s="68">
        <f t="shared" si="79"/>
        <v>30</v>
      </c>
    </row>
    <row r="348" spans="1:39" ht="13.5" customHeight="1" x14ac:dyDescent="0.35">
      <c r="A348" s="66" t="s">
        <v>350</v>
      </c>
      <c r="B348" s="67" t="s">
        <v>351</v>
      </c>
      <c r="C348" s="66"/>
      <c r="D348" s="66">
        <f t="shared" ref="D348:AL348" si="85">SUM(D347,D342)</f>
        <v>54</v>
      </c>
      <c r="E348" s="66">
        <f t="shared" si="85"/>
        <v>6</v>
      </c>
      <c r="F348" s="66">
        <f t="shared" si="85"/>
        <v>0</v>
      </c>
      <c r="G348" s="66">
        <f t="shared" si="85"/>
        <v>0</v>
      </c>
      <c r="H348" s="61">
        <f t="shared" si="85"/>
        <v>60</v>
      </c>
      <c r="I348" s="66">
        <f t="shared" si="85"/>
        <v>1</v>
      </c>
      <c r="J348" s="66">
        <f t="shared" si="85"/>
        <v>0</v>
      </c>
      <c r="K348" s="66">
        <f t="shared" si="85"/>
        <v>0</v>
      </c>
      <c r="L348" s="66">
        <f t="shared" si="85"/>
        <v>0</v>
      </c>
      <c r="M348" s="61">
        <f t="shared" si="85"/>
        <v>1</v>
      </c>
      <c r="N348" s="66">
        <f t="shared" si="85"/>
        <v>5</v>
      </c>
      <c r="O348" s="66">
        <f t="shared" si="85"/>
        <v>1</v>
      </c>
      <c r="P348" s="66">
        <f t="shared" si="85"/>
        <v>0</v>
      </c>
      <c r="Q348" s="66">
        <f t="shared" si="85"/>
        <v>0</v>
      </c>
      <c r="R348" s="61">
        <f t="shared" si="85"/>
        <v>6</v>
      </c>
      <c r="S348" s="66">
        <f t="shared" si="85"/>
        <v>0</v>
      </c>
      <c r="T348" s="66">
        <f t="shared" si="85"/>
        <v>0</v>
      </c>
      <c r="U348" s="66">
        <f t="shared" si="85"/>
        <v>0</v>
      </c>
      <c r="V348" s="66">
        <f t="shared" si="85"/>
        <v>0</v>
      </c>
      <c r="W348" s="61">
        <f t="shared" si="85"/>
        <v>0</v>
      </c>
      <c r="X348" s="66">
        <f t="shared" si="85"/>
        <v>0</v>
      </c>
      <c r="Y348" s="66">
        <f t="shared" si="85"/>
        <v>0</v>
      </c>
      <c r="Z348" s="66">
        <f t="shared" si="85"/>
        <v>0</v>
      </c>
      <c r="AA348" s="66">
        <f t="shared" si="85"/>
        <v>0</v>
      </c>
      <c r="AB348" s="61">
        <f t="shared" si="85"/>
        <v>0</v>
      </c>
      <c r="AC348" s="66">
        <f t="shared" si="85"/>
        <v>0</v>
      </c>
      <c r="AD348" s="66">
        <f t="shared" si="85"/>
        <v>0</v>
      </c>
      <c r="AE348" s="66">
        <f t="shared" si="85"/>
        <v>0</v>
      </c>
      <c r="AF348" s="66">
        <f t="shared" si="85"/>
        <v>0</v>
      </c>
      <c r="AG348" s="61">
        <f t="shared" si="85"/>
        <v>0</v>
      </c>
      <c r="AH348" s="66">
        <f t="shared" si="85"/>
        <v>13</v>
      </c>
      <c r="AI348" s="66">
        <f t="shared" si="85"/>
        <v>1</v>
      </c>
      <c r="AJ348" s="66">
        <f t="shared" si="85"/>
        <v>0</v>
      </c>
      <c r="AK348" s="66">
        <f t="shared" si="85"/>
        <v>0</v>
      </c>
      <c r="AL348" s="61">
        <f t="shared" si="85"/>
        <v>14</v>
      </c>
      <c r="AM348" s="68">
        <f t="shared" si="79"/>
        <v>81</v>
      </c>
    </row>
    <row r="349" spans="1:39" hidden="1" x14ac:dyDescent="0.35">
      <c r="A349" s="59" t="s">
        <v>353</v>
      </c>
      <c r="B349" s="54"/>
      <c r="C349" s="60" t="s">
        <v>225</v>
      </c>
      <c r="D349" s="60"/>
      <c r="E349" s="60"/>
      <c r="F349" s="60"/>
      <c r="G349" s="60"/>
      <c r="H349" s="61">
        <f>SUM(D349:G349)</f>
        <v>0</v>
      </c>
      <c r="I349" s="60"/>
      <c r="J349" s="60"/>
      <c r="K349" s="60"/>
      <c r="L349" s="60"/>
      <c r="M349" s="61">
        <f>SUM(I349:L349)</f>
        <v>0</v>
      </c>
      <c r="N349" s="60"/>
      <c r="O349" s="60"/>
      <c r="P349" s="60"/>
      <c r="Q349" s="60"/>
      <c r="R349" s="61">
        <f>SUM(N349:Q349)</f>
        <v>0</v>
      </c>
      <c r="S349" s="60"/>
      <c r="T349" s="60"/>
      <c r="U349" s="60"/>
      <c r="V349" s="60"/>
      <c r="W349" s="61">
        <f>SUM(S349:V349)</f>
        <v>0</v>
      </c>
      <c r="X349" s="60"/>
      <c r="Y349" s="60"/>
      <c r="Z349" s="60"/>
      <c r="AA349" s="60"/>
      <c r="AB349" s="61">
        <f>SUM(X349:AA349)</f>
        <v>0</v>
      </c>
      <c r="AC349" s="60"/>
      <c r="AD349" s="60"/>
      <c r="AE349" s="60"/>
      <c r="AF349" s="60"/>
      <c r="AG349" s="61">
        <f>SUM(AC349:AF349)</f>
        <v>0</v>
      </c>
      <c r="AH349" s="60">
        <v>2</v>
      </c>
      <c r="AI349" s="60"/>
      <c r="AJ349" s="60"/>
      <c r="AK349" s="60"/>
      <c r="AL349" s="61">
        <f>SUM(AH349:AK349)</f>
        <v>2</v>
      </c>
      <c r="AM349" s="68">
        <f t="shared" si="79"/>
        <v>2</v>
      </c>
    </row>
    <row r="350" spans="1:39" hidden="1" x14ac:dyDescent="0.35">
      <c r="A350" s="111" t="s">
        <v>354</v>
      </c>
      <c r="B350" s="54"/>
      <c r="C350" s="63" t="s">
        <v>227</v>
      </c>
      <c r="D350" s="63">
        <v>1</v>
      </c>
      <c r="E350" s="63"/>
      <c r="F350" s="63"/>
      <c r="G350" s="63"/>
      <c r="H350" s="61">
        <f>SUM(D350:G350)</f>
        <v>1</v>
      </c>
      <c r="I350" s="63"/>
      <c r="J350" s="63"/>
      <c r="K350" s="63"/>
      <c r="L350" s="63"/>
      <c r="M350" s="61">
        <f>SUM(I350:L350)</f>
        <v>0</v>
      </c>
      <c r="N350" s="63"/>
      <c r="O350" s="63"/>
      <c r="P350" s="63"/>
      <c r="Q350" s="63"/>
      <c r="R350" s="61">
        <f>SUM(N350:Q350)</f>
        <v>0</v>
      </c>
      <c r="S350" s="63">
        <v>1</v>
      </c>
      <c r="T350" s="63"/>
      <c r="U350" s="63"/>
      <c r="V350" s="63"/>
      <c r="W350" s="61">
        <f>SUM(S350:V350)</f>
        <v>1</v>
      </c>
      <c r="X350" s="63"/>
      <c r="Y350" s="63"/>
      <c r="Z350" s="63"/>
      <c r="AA350" s="63"/>
      <c r="AB350" s="61">
        <f>SUM(X350:AA350)</f>
        <v>0</v>
      </c>
      <c r="AC350" s="63"/>
      <c r="AD350" s="63"/>
      <c r="AE350" s="63"/>
      <c r="AF350" s="63"/>
      <c r="AG350" s="61">
        <f>SUM(AC350:AF350)</f>
        <v>0</v>
      </c>
      <c r="AH350" s="63"/>
      <c r="AI350" s="63"/>
      <c r="AJ350" s="63"/>
      <c r="AK350" s="63"/>
      <c r="AL350" s="61">
        <f>SUM(AH350:AK350)</f>
        <v>0</v>
      </c>
      <c r="AM350" s="68">
        <f t="shared" si="79"/>
        <v>2</v>
      </c>
    </row>
    <row r="351" spans="1:39" hidden="1" x14ac:dyDescent="0.35">
      <c r="A351" s="111"/>
      <c r="B351" s="54"/>
      <c r="C351" s="60" t="s">
        <v>228</v>
      </c>
      <c r="D351" s="60"/>
      <c r="E351" s="60"/>
      <c r="F351" s="60"/>
      <c r="G351" s="60"/>
      <c r="H351" s="61">
        <f>SUM(D351:G351)</f>
        <v>0</v>
      </c>
      <c r="I351" s="60"/>
      <c r="J351" s="60"/>
      <c r="K351" s="60"/>
      <c r="L351" s="60"/>
      <c r="M351" s="61">
        <f>SUM(I351:L351)</f>
        <v>0</v>
      </c>
      <c r="N351" s="60"/>
      <c r="O351" s="60"/>
      <c r="P351" s="60"/>
      <c r="Q351" s="60"/>
      <c r="R351" s="61">
        <f>SUM(N351:Q351)</f>
        <v>0</v>
      </c>
      <c r="S351" s="60"/>
      <c r="T351" s="60"/>
      <c r="U351" s="60"/>
      <c r="V351" s="60"/>
      <c r="W351" s="61">
        <f>SUM(S351:V351)</f>
        <v>0</v>
      </c>
      <c r="X351" s="60"/>
      <c r="Y351" s="60"/>
      <c r="Z351" s="60"/>
      <c r="AA351" s="60"/>
      <c r="AB351" s="61">
        <f>SUM(X351:AA351)</f>
        <v>0</v>
      </c>
      <c r="AC351" s="60"/>
      <c r="AD351" s="60"/>
      <c r="AE351" s="60"/>
      <c r="AF351" s="60"/>
      <c r="AG351" s="61">
        <f>SUM(AC351:AF351)</f>
        <v>0</v>
      </c>
      <c r="AH351" s="60">
        <v>1</v>
      </c>
      <c r="AI351" s="60"/>
      <c r="AJ351" s="60"/>
      <c r="AK351" s="60"/>
      <c r="AL351" s="61">
        <f>SUM(AH351:AK351)</f>
        <v>1</v>
      </c>
      <c r="AM351" s="68">
        <f t="shared" si="79"/>
        <v>1</v>
      </c>
    </row>
    <row r="352" spans="1:39" hidden="1" x14ac:dyDescent="0.35">
      <c r="A352" s="111"/>
      <c r="B352" s="54"/>
      <c r="C352" s="63" t="s">
        <v>235</v>
      </c>
      <c r="D352" s="63"/>
      <c r="E352" s="63"/>
      <c r="F352" s="63"/>
      <c r="G352" s="63"/>
      <c r="H352" s="61">
        <f>SUM(D352:G352)</f>
        <v>0</v>
      </c>
      <c r="I352" s="63"/>
      <c r="J352" s="63"/>
      <c r="K352" s="63"/>
      <c r="L352" s="63"/>
      <c r="M352" s="61">
        <f>SUM(I352:L352)</f>
        <v>0</v>
      </c>
      <c r="N352" s="63"/>
      <c r="O352" s="63"/>
      <c r="P352" s="63"/>
      <c r="Q352" s="63"/>
      <c r="R352" s="61">
        <f>SUM(N352:Q352)</f>
        <v>0</v>
      </c>
      <c r="S352" s="63"/>
      <c r="T352" s="63"/>
      <c r="U352" s="63"/>
      <c r="V352" s="63"/>
      <c r="W352" s="61">
        <f>SUM(S352:V352)</f>
        <v>0</v>
      </c>
      <c r="X352" s="63"/>
      <c r="Y352" s="63"/>
      <c r="Z352" s="63"/>
      <c r="AA352" s="63"/>
      <c r="AB352" s="61">
        <f>SUM(X352:AA352)</f>
        <v>0</v>
      </c>
      <c r="AC352" s="63"/>
      <c r="AD352" s="63"/>
      <c r="AE352" s="63"/>
      <c r="AF352" s="63"/>
      <c r="AG352" s="61">
        <f>SUM(AC352:AF352)</f>
        <v>0</v>
      </c>
      <c r="AH352" s="63"/>
      <c r="AI352" s="63"/>
      <c r="AJ352" s="63"/>
      <c r="AK352" s="63"/>
      <c r="AL352" s="61">
        <f>SUM(AH352:AK352)</f>
        <v>0</v>
      </c>
      <c r="AM352" s="68">
        <f t="shared" si="79"/>
        <v>0</v>
      </c>
    </row>
    <row r="353" spans="1:39" hidden="1" x14ac:dyDescent="0.35">
      <c r="A353" s="66" t="s">
        <v>354</v>
      </c>
      <c r="B353" s="67"/>
      <c r="C353" s="66"/>
      <c r="D353" s="66">
        <f t="shared" ref="D353:AL353" si="86">SUM(D349:D352)</f>
        <v>1</v>
      </c>
      <c r="E353" s="66">
        <f t="shared" si="86"/>
        <v>0</v>
      </c>
      <c r="F353" s="66">
        <f t="shared" si="86"/>
        <v>0</v>
      </c>
      <c r="G353" s="66">
        <f t="shared" si="86"/>
        <v>0</v>
      </c>
      <c r="H353" s="61">
        <f t="shared" si="86"/>
        <v>1</v>
      </c>
      <c r="I353" s="66">
        <f t="shared" si="86"/>
        <v>0</v>
      </c>
      <c r="J353" s="66">
        <f t="shared" si="86"/>
        <v>0</v>
      </c>
      <c r="K353" s="66">
        <f t="shared" si="86"/>
        <v>0</v>
      </c>
      <c r="L353" s="66">
        <f t="shared" si="86"/>
        <v>0</v>
      </c>
      <c r="M353" s="61">
        <f t="shared" si="86"/>
        <v>0</v>
      </c>
      <c r="N353" s="66">
        <f t="shared" si="86"/>
        <v>0</v>
      </c>
      <c r="O353" s="66">
        <f t="shared" si="86"/>
        <v>0</v>
      </c>
      <c r="P353" s="66">
        <f t="shared" si="86"/>
        <v>0</v>
      </c>
      <c r="Q353" s="66">
        <f t="shared" si="86"/>
        <v>0</v>
      </c>
      <c r="R353" s="61">
        <f t="shared" si="86"/>
        <v>0</v>
      </c>
      <c r="S353" s="66">
        <f t="shared" si="86"/>
        <v>1</v>
      </c>
      <c r="T353" s="66">
        <f t="shared" si="86"/>
        <v>0</v>
      </c>
      <c r="U353" s="66">
        <f t="shared" si="86"/>
        <v>0</v>
      </c>
      <c r="V353" s="66">
        <f t="shared" si="86"/>
        <v>0</v>
      </c>
      <c r="W353" s="61">
        <f t="shared" si="86"/>
        <v>1</v>
      </c>
      <c r="X353" s="66">
        <f t="shared" si="86"/>
        <v>0</v>
      </c>
      <c r="Y353" s="66">
        <f t="shared" si="86"/>
        <v>0</v>
      </c>
      <c r="Z353" s="66">
        <f t="shared" si="86"/>
        <v>0</v>
      </c>
      <c r="AA353" s="66">
        <f t="shared" si="86"/>
        <v>0</v>
      </c>
      <c r="AB353" s="61">
        <f t="shared" si="86"/>
        <v>0</v>
      </c>
      <c r="AC353" s="66">
        <f t="shared" si="86"/>
        <v>0</v>
      </c>
      <c r="AD353" s="66">
        <f t="shared" si="86"/>
        <v>0</v>
      </c>
      <c r="AE353" s="66">
        <f t="shared" si="86"/>
        <v>0</v>
      </c>
      <c r="AF353" s="66">
        <f t="shared" si="86"/>
        <v>0</v>
      </c>
      <c r="AG353" s="61">
        <f t="shared" si="86"/>
        <v>0</v>
      </c>
      <c r="AH353" s="66">
        <f t="shared" si="86"/>
        <v>3</v>
      </c>
      <c r="AI353" s="66">
        <f t="shared" si="86"/>
        <v>0</v>
      </c>
      <c r="AJ353" s="66">
        <f t="shared" si="86"/>
        <v>0</v>
      </c>
      <c r="AK353" s="66">
        <f t="shared" si="86"/>
        <v>0</v>
      </c>
      <c r="AL353" s="61">
        <f t="shared" si="86"/>
        <v>3</v>
      </c>
      <c r="AM353" s="68">
        <f t="shared" si="79"/>
        <v>5</v>
      </c>
    </row>
    <row r="354" spans="1:39" hidden="1" x14ac:dyDescent="0.35">
      <c r="A354" s="79"/>
      <c r="B354" s="54"/>
      <c r="C354" s="60" t="s">
        <v>225</v>
      </c>
      <c r="D354" s="60"/>
      <c r="E354" s="60"/>
      <c r="F354" s="60"/>
      <c r="G354" s="60"/>
      <c r="H354" s="61">
        <f>SUM(D354:G354)</f>
        <v>0</v>
      </c>
      <c r="I354" s="60"/>
      <c r="J354" s="60"/>
      <c r="K354" s="60"/>
      <c r="L354" s="60"/>
      <c r="M354" s="61">
        <f>SUM(I354:L354)</f>
        <v>0</v>
      </c>
      <c r="N354" s="60"/>
      <c r="O354" s="60"/>
      <c r="P354" s="60"/>
      <c r="Q354" s="60"/>
      <c r="R354" s="61">
        <f>SUM(N354:Q354)</f>
        <v>0</v>
      </c>
      <c r="S354" s="60"/>
      <c r="T354" s="60"/>
      <c r="U354" s="60"/>
      <c r="V354" s="60"/>
      <c r="W354" s="61">
        <f>SUM(S354:V354)</f>
        <v>0</v>
      </c>
      <c r="X354" s="60"/>
      <c r="Y354" s="60"/>
      <c r="Z354" s="60"/>
      <c r="AA354" s="60"/>
      <c r="AB354" s="61">
        <f>SUM(X354:AA354)</f>
        <v>0</v>
      </c>
      <c r="AC354" s="60"/>
      <c r="AD354" s="60"/>
      <c r="AE354" s="60"/>
      <c r="AF354" s="60"/>
      <c r="AG354" s="61">
        <f>SUM(AC354:AF354)</f>
        <v>0</v>
      </c>
      <c r="AH354" s="60"/>
      <c r="AI354" s="60"/>
      <c r="AJ354" s="60"/>
      <c r="AK354" s="60"/>
      <c r="AL354" s="61">
        <f>SUM(AH354:AK354)</f>
        <v>0</v>
      </c>
      <c r="AM354" s="68">
        <f t="shared" si="79"/>
        <v>0</v>
      </c>
    </row>
    <row r="355" spans="1:39" hidden="1" x14ac:dyDescent="0.35">
      <c r="A355" s="111" t="s">
        <v>398</v>
      </c>
      <c r="B355" s="54"/>
      <c r="C355" s="63" t="s">
        <v>227</v>
      </c>
      <c r="D355" s="63"/>
      <c r="E355" s="63"/>
      <c r="F355" s="63"/>
      <c r="G355" s="63"/>
      <c r="H355" s="61">
        <f>SUM(D355:G355)</f>
        <v>0</v>
      </c>
      <c r="I355" s="63"/>
      <c r="J355" s="63"/>
      <c r="K355" s="63"/>
      <c r="L355" s="63"/>
      <c r="M355" s="61">
        <f>SUM(I355:L355)</f>
        <v>0</v>
      </c>
      <c r="N355" s="63"/>
      <c r="O355" s="63"/>
      <c r="P355" s="63"/>
      <c r="Q355" s="63"/>
      <c r="R355" s="61">
        <f>SUM(N355:Q355)</f>
        <v>0</v>
      </c>
      <c r="S355" s="63"/>
      <c r="T355" s="63"/>
      <c r="U355" s="63"/>
      <c r="V355" s="63"/>
      <c r="W355" s="61">
        <f>SUM(S355:V355)</f>
        <v>0</v>
      </c>
      <c r="X355" s="63"/>
      <c r="Y355" s="63"/>
      <c r="Z355" s="63"/>
      <c r="AA355" s="63"/>
      <c r="AB355" s="61">
        <f>SUM(X355:AA355)</f>
        <v>0</v>
      </c>
      <c r="AC355" s="63"/>
      <c r="AD355" s="63"/>
      <c r="AE355" s="63"/>
      <c r="AF355" s="63"/>
      <c r="AG355" s="61">
        <f>SUM(AC355:AF355)</f>
        <v>0</v>
      </c>
      <c r="AH355" s="63"/>
      <c r="AI355" s="63"/>
      <c r="AJ355" s="63"/>
      <c r="AK355" s="63"/>
      <c r="AL355" s="61">
        <f>SUM(AH355:AK355)</f>
        <v>0</v>
      </c>
      <c r="AM355" s="68">
        <f t="shared" si="79"/>
        <v>0</v>
      </c>
    </row>
    <row r="356" spans="1:39" hidden="1" x14ac:dyDescent="0.35">
      <c r="A356" s="111"/>
      <c r="B356" s="54"/>
      <c r="C356" s="60" t="s">
        <v>228</v>
      </c>
      <c r="D356" s="60"/>
      <c r="E356" s="60"/>
      <c r="F356" s="60"/>
      <c r="G356" s="60"/>
      <c r="H356" s="61">
        <f>SUM(D356:G356)</f>
        <v>0</v>
      </c>
      <c r="I356" s="60"/>
      <c r="J356" s="60"/>
      <c r="K356" s="60"/>
      <c r="L356" s="60"/>
      <c r="M356" s="61">
        <f>SUM(I356:L356)</f>
        <v>0</v>
      </c>
      <c r="N356" s="60">
        <v>1</v>
      </c>
      <c r="O356" s="60"/>
      <c r="P356" s="60"/>
      <c r="Q356" s="60"/>
      <c r="R356" s="61">
        <f>SUM(N356:Q356)</f>
        <v>1</v>
      </c>
      <c r="S356" s="60"/>
      <c r="T356" s="60"/>
      <c r="U356" s="60"/>
      <c r="V356" s="60"/>
      <c r="W356" s="61">
        <f>SUM(S356:V356)</f>
        <v>0</v>
      </c>
      <c r="X356" s="60"/>
      <c r="Y356" s="60"/>
      <c r="Z356" s="60"/>
      <c r="AA356" s="60"/>
      <c r="AB356" s="61">
        <f>SUM(X356:AA356)</f>
        <v>0</v>
      </c>
      <c r="AC356" s="60"/>
      <c r="AD356" s="60"/>
      <c r="AE356" s="60"/>
      <c r="AF356" s="60"/>
      <c r="AG356" s="61">
        <f>SUM(AC356:AF356)</f>
        <v>0</v>
      </c>
      <c r="AH356" s="60">
        <v>8</v>
      </c>
      <c r="AI356" s="60"/>
      <c r="AJ356" s="60"/>
      <c r="AK356" s="60"/>
      <c r="AL356" s="61">
        <f>SUM(AH356:AK356)</f>
        <v>8</v>
      </c>
      <c r="AM356" s="68">
        <f t="shared" si="79"/>
        <v>9</v>
      </c>
    </row>
    <row r="357" spans="1:39" hidden="1" x14ac:dyDescent="0.35">
      <c r="A357" s="111"/>
      <c r="B357" s="54"/>
      <c r="C357" s="63" t="s">
        <v>235</v>
      </c>
      <c r="D357" s="63"/>
      <c r="E357" s="63"/>
      <c r="F357" s="63"/>
      <c r="G357" s="63"/>
      <c r="H357" s="61">
        <f>SUM(D357:G357)</f>
        <v>0</v>
      </c>
      <c r="I357" s="63"/>
      <c r="J357" s="63"/>
      <c r="K357" s="63"/>
      <c r="L357" s="63"/>
      <c r="M357" s="61">
        <f>SUM(I357:L357)</f>
        <v>0</v>
      </c>
      <c r="N357" s="63"/>
      <c r="O357" s="63"/>
      <c r="P357" s="63"/>
      <c r="Q357" s="63"/>
      <c r="R357" s="61">
        <f>SUM(N357:Q357)</f>
        <v>0</v>
      </c>
      <c r="S357" s="63"/>
      <c r="T357" s="63"/>
      <c r="U357" s="63"/>
      <c r="V357" s="63"/>
      <c r="W357" s="61">
        <f>SUM(S357:V357)</f>
        <v>0</v>
      </c>
      <c r="X357" s="63"/>
      <c r="Y357" s="63"/>
      <c r="Z357" s="63"/>
      <c r="AA357" s="63"/>
      <c r="AB357" s="61">
        <f>SUM(X357:AA357)</f>
        <v>0</v>
      </c>
      <c r="AC357" s="63"/>
      <c r="AD357" s="63"/>
      <c r="AE357" s="63"/>
      <c r="AF357" s="63"/>
      <c r="AG357" s="61">
        <f>SUM(AC357:AF357)</f>
        <v>0</v>
      </c>
      <c r="AH357" s="63">
        <v>15</v>
      </c>
      <c r="AI357" s="63"/>
      <c r="AJ357" s="63"/>
      <c r="AK357" s="63"/>
      <c r="AL357" s="61">
        <f>SUM(AH357:AK357)</f>
        <v>15</v>
      </c>
      <c r="AM357" s="68">
        <f t="shared" si="79"/>
        <v>15</v>
      </c>
    </row>
    <row r="358" spans="1:39" hidden="1" x14ac:dyDescent="0.35">
      <c r="A358" s="66" t="s">
        <v>398</v>
      </c>
      <c r="B358" s="67"/>
      <c r="C358" s="66"/>
      <c r="D358" s="66">
        <f t="shared" ref="D358:AM358" si="87">SUM(D354:D357)</f>
        <v>0</v>
      </c>
      <c r="E358" s="66">
        <f t="shared" si="87"/>
        <v>0</v>
      </c>
      <c r="F358" s="66">
        <f t="shared" si="87"/>
        <v>0</v>
      </c>
      <c r="G358" s="66">
        <f t="shared" si="87"/>
        <v>0</v>
      </c>
      <c r="H358" s="61">
        <f t="shared" si="87"/>
        <v>0</v>
      </c>
      <c r="I358" s="66">
        <f t="shared" si="87"/>
        <v>0</v>
      </c>
      <c r="J358" s="66">
        <f t="shared" si="87"/>
        <v>0</v>
      </c>
      <c r="K358" s="66">
        <f t="shared" si="87"/>
        <v>0</v>
      </c>
      <c r="L358" s="66">
        <f t="shared" si="87"/>
        <v>0</v>
      </c>
      <c r="M358" s="61">
        <f t="shared" si="87"/>
        <v>0</v>
      </c>
      <c r="N358" s="66">
        <f t="shared" si="87"/>
        <v>1</v>
      </c>
      <c r="O358" s="66">
        <f t="shared" si="87"/>
        <v>0</v>
      </c>
      <c r="P358" s="66">
        <f t="shared" si="87"/>
        <v>0</v>
      </c>
      <c r="Q358" s="66">
        <f t="shared" si="87"/>
        <v>0</v>
      </c>
      <c r="R358" s="61">
        <f t="shared" si="87"/>
        <v>1</v>
      </c>
      <c r="S358" s="66">
        <f t="shared" si="87"/>
        <v>0</v>
      </c>
      <c r="T358" s="66">
        <f t="shared" si="87"/>
        <v>0</v>
      </c>
      <c r="U358" s="66">
        <f t="shared" si="87"/>
        <v>0</v>
      </c>
      <c r="V358" s="66">
        <f t="shared" si="87"/>
        <v>0</v>
      </c>
      <c r="W358" s="61">
        <f t="shared" si="87"/>
        <v>0</v>
      </c>
      <c r="X358" s="66">
        <f t="shared" si="87"/>
        <v>0</v>
      </c>
      <c r="Y358" s="66">
        <f t="shared" si="87"/>
        <v>0</v>
      </c>
      <c r="Z358" s="66">
        <f t="shared" si="87"/>
        <v>0</v>
      </c>
      <c r="AA358" s="66">
        <f t="shared" si="87"/>
        <v>0</v>
      </c>
      <c r="AB358" s="61">
        <f t="shared" si="87"/>
        <v>0</v>
      </c>
      <c r="AC358" s="66">
        <f t="shared" si="87"/>
        <v>0</v>
      </c>
      <c r="AD358" s="66">
        <f t="shared" si="87"/>
        <v>0</v>
      </c>
      <c r="AE358" s="66">
        <f t="shared" si="87"/>
        <v>0</v>
      </c>
      <c r="AF358" s="66">
        <f t="shared" si="87"/>
        <v>0</v>
      </c>
      <c r="AG358" s="61">
        <f t="shared" si="87"/>
        <v>0</v>
      </c>
      <c r="AH358" s="66">
        <f t="shared" si="87"/>
        <v>23</v>
      </c>
      <c r="AI358" s="66">
        <f t="shared" si="87"/>
        <v>0</v>
      </c>
      <c r="AJ358" s="66">
        <f t="shared" si="87"/>
        <v>0</v>
      </c>
      <c r="AK358" s="66">
        <f t="shared" si="87"/>
        <v>0</v>
      </c>
      <c r="AL358" s="61">
        <f t="shared" si="87"/>
        <v>23</v>
      </c>
      <c r="AM358" s="68">
        <f t="shared" si="87"/>
        <v>24</v>
      </c>
    </row>
    <row r="359" spans="1:39" x14ac:dyDescent="0.35">
      <c r="A359" s="66" t="s">
        <v>353</v>
      </c>
      <c r="B359" s="67"/>
      <c r="C359" s="66"/>
      <c r="D359" s="66">
        <f t="shared" ref="D359:AM359" si="88">SUM(D358,D353)</f>
        <v>1</v>
      </c>
      <c r="E359" s="66">
        <f t="shared" si="88"/>
        <v>0</v>
      </c>
      <c r="F359" s="66">
        <f t="shared" si="88"/>
        <v>0</v>
      </c>
      <c r="G359" s="66">
        <f t="shared" si="88"/>
        <v>0</v>
      </c>
      <c r="H359" s="61">
        <f t="shared" si="88"/>
        <v>1</v>
      </c>
      <c r="I359" s="66">
        <f t="shared" si="88"/>
        <v>0</v>
      </c>
      <c r="J359" s="66">
        <f t="shared" si="88"/>
        <v>0</v>
      </c>
      <c r="K359" s="66">
        <f t="shared" si="88"/>
        <v>0</v>
      </c>
      <c r="L359" s="66">
        <f t="shared" si="88"/>
        <v>0</v>
      </c>
      <c r="M359" s="61">
        <f t="shared" si="88"/>
        <v>0</v>
      </c>
      <c r="N359" s="66">
        <f t="shared" si="88"/>
        <v>1</v>
      </c>
      <c r="O359" s="66">
        <f t="shared" si="88"/>
        <v>0</v>
      </c>
      <c r="P359" s="66">
        <f t="shared" si="88"/>
        <v>0</v>
      </c>
      <c r="Q359" s="66">
        <f t="shared" si="88"/>
        <v>0</v>
      </c>
      <c r="R359" s="61">
        <f t="shared" si="88"/>
        <v>1</v>
      </c>
      <c r="S359" s="66">
        <f t="shared" si="88"/>
        <v>1</v>
      </c>
      <c r="T359" s="66">
        <f t="shared" si="88"/>
        <v>0</v>
      </c>
      <c r="U359" s="66">
        <f t="shared" si="88"/>
        <v>0</v>
      </c>
      <c r="V359" s="66">
        <f t="shared" si="88"/>
        <v>0</v>
      </c>
      <c r="W359" s="61">
        <f t="shared" si="88"/>
        <v>1</v>
      </c>
      <c r="X359" s="66">
        <f t="shared" si="88"/>
        <v>0</v>
      </c>
      <c r="Y359" s="66">
        <f t="shared" si="88"/>
        <v>0</v>
      </c>
      <c r="Z359" s="66">
        <f t="shared" si="88"/>
        <v>0</v>
      </c>
      <c r="AA359" s="66">
        <f t="shared" si="88"/>
        <v>0</v>
      </c>
      <c r="AB359" s="61">
        <f t="shared" si="88"/>
        <v>0</v>
      </c>
      <c r="AC359" s="66">
        <f t="shared" si="88"/>
        <v>0</v>
      </c>
      <c r="AD359" s="66">
        <f t="shared" si="88"/>
        <v>0</v>
      </c>
      <c r="AE359" s="66">
        <f t="shared" si="88"/>
        <v>0</v>
      </c>
      <c r="AF359" s="66">
        <f t="shared" si="88"/>
        <v>0</v>
      </c>
      <c r="AG359" s="61">
        <f t="shared" si="88"/>
        <v>0</v>
      </c>
      <c r="AH359" s="66">
        <f t="shared" si="88"/>
        <v>26</v>
      </c>
      <c r="AI359" s="66">
        <f t="shared" si="88"/>
        <v>0</v>
      </c>
      <c r="AJ359" s="66">
        <f t="shared" si="88"/>
        <v>0</v>
      </c>
      <c r="AK359" s="66">
        <f t="shared" si="88"/>
        <v>0</v>
      </c>
      <c r="AL359" s="61">
        <f t="shared" si="88"/>
        <v>26</v>
      </c>
      <c r="AM359" s="68">
        <f t="shared" si="88"/>
        <v>29</v>
      </c>
    </row>
    <row r="360" spans="1:39" hidden="1" x14ac:dyDescent="0.35">
      <c r="A360" s="59" t="s">
        <v>356</v>
      </c>
      <c r="B360" s="54">
        <v>4</v>
      </c>
      <c r="C360" s="60" t="s">
        <v>225</v>
      </c>
      <c r="D360" s="60">
        <v>5</v>
      </c>
      <c r="E360" s="60"/>
      <c r="F360" s="60">
        <v>1</v>
      </c>
      <c r="G360" s="60"/>
      <c r="H360" s="61">
        <f>SUM(D360:G360)</f>
        <v>6</v>
      </c>
      <c r="I360" s="60"/>
      <c r="J360" s="60"/>
      <c r="K360" s="60"/>
      <c r="L360" s="60"/>
      <c r="M360" s="61">
        <f>SUM(I360:L360)</f>
        <v>0</v>
      </c>
      <c r="N360" s="60"/>
      <c r="O360" s="60">
        <v>1</v>
      </c>
      <c r="P360" s="60"/>
      <c r="Q360" s="60"/>
      <c r="R360" s="61">
        <f>SUM(N360:Q360)</f>
        <v>1</v>
      </c>
      <c r="S360" s="60"/>
      <c r="T360" s="60"/>
      <c r="U360" s="60"/>
      <c r="V360" s="60"/>
      <c r="W360" s="61">
        <f>SUM(S360:V360)</f>
        <v>0</v>
      </c>
      <c r="X360" s="60"/>
      <c r="Y360" s="60"/>
      <c r="Z360" s="60"/>
      <c r="AA360" s="60"/>
      <c r="AB360" s="61">
        <f>SUM(X360:AA360)</f>
        <v>0</v>
      </c>
      <c r="AC360" s="60"/>
      <c r="AD360" s="60"/>
      <c r="AE360" s="60"/>
      <c r="AF360" s="60"/>
      <c r="AG360" s="61">
        <f>SUM(AC360:AF360)</f>
        <v>0</v>
      </c>
      <c r="AH360" s="60"/>
      <c r="AI360" s="60"/>
      <c r="AJ360" s="60"/>
      <c r="AK360" s="60"/>
      <c r="AL360" s="61">
        <f>SUM(AH360:AK360)</f>
        <v>0</v>
      </c>
      <c r="AM360" s="68">
        <f t="shared" ref="AM360:AM391" si="89">SUM(H360,M360,R360,W360,AB360,AG360,AL360)</f>
        <v>7</v>
      </c>
    </row>
    <row r="361" spans="1:39" hidden="1" x14ac:dyDescent="0.35">
      <c r="A361" s="111" t="s">
        <v>280</v>
      </c>
      <c r="B361" s="54"/>
      <c r="C361" s="63" t="s">
        <v>227</v>
      </c>
      <c r="D361" s="63"/>
      <c r="E361" s="63"/>
      <c r="F361" s="63"/>
      <c r="G361" s="63"/>
      <c r="H361" s="61">
        <f>SUM(D361:G361)</f>
        <v>0</v>
      </c>
      <c r="I361" s="63"/>
      <c r="J361" s="63"/>
      <c r="K361" s="63"/>
      <c r="L361" s="63"/>
      <c r="M361" s="61">
        <f>SUM(I361:L361)</f>
        <v>0</v>
      </c>
      <c r="N361" s="63"/>
      <c r="O361" s="63">
        <v>1</v>
      </c>
      <c r="P361" s="63"/>
      <c r="Q361" s="63"/>
      <c r="R361" s="61">
        <f>SUM(N361:Q361)</f>
        <v>1</v>
      </c>
      <c r="S361" s="63"/>
      <c r="T361" s="63"/>
      <c r="U361" s="63"/>
      <c r="V361" s="63"/>
      <c r="W361" s="61">
        <f>SUM(S361:V361)</f>
        <v>0</v>
      </c>
      <c r="X361" s="63"/>
      <c r="Y361" s="63"/>
      <c r="Z361" s="63"/>
      <c r="AA361" s="63"/>
      <c r="AB361" s="61">
        <f>SUM(X361:AA361)</f>
        <v>0</v>
      </c>
      <c r="AC361" s="63"/>
      <c r="AD361" s="63"/>
      <c r="AE361" s="63"/>
      <c r="AF361" s="63"/>
      <c r="AG361" s="61">
        <f>SUM(AC361:AF361)</f>
        <v>0</v>
      </c>
      <c r="AH361" s="63"/>
      <c r="AI361" s="63"/>
      <c r="AJ361" s="63"/>
      <c r="AK361" s="63"/>
      <c r="AL361" s="61">
        <f>SUM(AH361:AK361)</f>
        <v>0</v>
      </c>
      <c r="AM361" s="68">
        <f t="shared" si="89"/>
        <v>1</v>
      </c>
    </row>
    <row r="362" spans="1:39" hidden="1" x14ac:dyDescent="0.35">
      <c r="A362" s="111"/>
      <c r="B362" s="54"/>
      <c r="C362" s="60" t="s">
        <v>228</v>
      </c>
      <c r="D362" s="60">
        <v>5</v>
      </c>
      <c r="E362" s="60"/>
      <c r="F362" s="60"/>
      <c r="G362" s="60"/>
      <c r="H362" s="61">
        <f>SUM(D362:G362)</f>
        <v>5</v>
      </c>
      <c r="I362" s="60"/>
      <c r="J362" s="60"/>
      <c r="K362" s="60"/>
      <c r="L362" s="60"/>
      <c r="M362" s="61">
        <f>SUM(I362:L362)</f>
        <v>0</v>
      </c>
      <c r="N362" s="60">
        <v>1</v>
      </c>
      <c r="O362" s="60">
        <v>1</v>
      </c>
      <c r="P362" s="60"/>
      <c r="Q362" s="60"/>
      <c r="R362" s="61">
        <f>SUM(N362:Q362)</f>
        <v>2</v>
      </c>
      <c r="S362" s="60"/>
      <c r="T362" s="60"/>
      <c r="U362" s="60"/>
      <c r="V362" s="60"/>
      <c r="W362" s="61">
        <f>SUM(S362:V362)</f>
        <v>0</v>
      </c>
      <c r="X362" s="60"/>
      <c r="Y362" s="60"/>
      <c r="Z362" s="60"/>
      <c r="AA362" s="60"/>
      <c r="AB362" s="61">
        <f>SUM(X362:AA362)</f>
        <v>0</v>
      </c>
      <c r="AC362" s="60"/>
      <c r="AD362" s="60"/>
      <c r="AE362" s="60"/>
      <c r="AF362" s="60"/>
      <c r="AG362" s="61">
        <f>SUM(AC362:AF362)</f>
        <v>0</v>
      </c>
      <c r="AH362" s="60"/>
      <c r="AI362" s="60"/>
      <c r="AJ362" s="60"/>
      <c r="AK362" s="60"/>
      <c r="AL362" s="61">
        <f>SUM(AH362:AK362)</f>
        <v>0</v>
      </c>
      <c r="AM362" s="68">
        <f t="shared" si="89"/>
        <v>7</v>
      </c>
    </row>
    <row r="363" spans="1:39" hidden="1" x14ac:dyDescent="0.35">
      <c r="A363" s="111"/>
      <c r="B363" s="54"/>
      <c r="C363" s="63" t="s">
        <v>235</v>
      </c>
      <c r="D363" s="63">
        <v>2</v>
      </c>
      <c r="E363" s="63">
        <v>2</v>
      </c>
      <c r="F363" s="63"/>
      <c r="G363" s="63"/>
      <c r="H363" s="61">
        <f>SUM(D363:G363)</f>
        <v>4</v>
      </c>
      <c r="I363" s="63"/>
      <c r="J363" s="63"/>
      <c r="K363" s="63"/>
      <c r="L363" s="63"/>
      <c r="M363" s="61">
        <f>SUM(I363:L363)</f>
        <v>0</v>
      </c>
      <c r="N363" s="63">
        <v>3</v>
      </c>
      <c r="O363" s="63">
        <v>1</v>
      </c>
      <c r="P363" s="63"/>
      <c r="Q363" s="63"/>
      <c r="R363" s="61">
        <f>SUM(N363:Q363)</f>
        <v>4</v>
      </c>
      <c r="S363" s="63"/>
      <c r="T363" s="63"/>
      <c r="U363" s="63"/>
      <c r="V363" s="63"/>
      <c r="W363" s="61">
        <f>SUM(S363:V363)</f>
        <v>0</v>
      </c>
      <c r="X363" s="63"/>
      <c r="Y363" s="63"/>
      <c r="Z363" s="63"/>
      <c r="AA363" s="63"/>
      <c r="AB363" s="61">
        <f>SUM(X363:AA363)</f>
        <v>0</v>
      </c>
      <c r="AC363" s="63"/>
      <c r="AD363" s="63"/>
      <c r="AE363" s="63"/>
      <c r="AF363" s="63"/>
      <c r="AG363" s="61">
        <f>SUM(AC363:AF363)</f>
        <v>0</v>
      </c>
      <c r="AH363" s="63"/>
      <c r="AI363" s="63"/>
      <c r="AJ363" s="63"/>
      <c r="AK363" s="63"/>
      <c r="AL363" s="61">
        <f>SUM(AH363:AK363)</f>
        <v>0</v>
      </c>
      <c r="AM363" s="68">
        <f t="shared" si="89"/>
        <v>8</v>
      </c>
    </row>
    <row r="364" spans="1:39" x14ac:dyDescent="0.35">
      <c r="A364" s="66" t="s">
        <v>356</v>
      </c>
      <c r="B364" s="67">
        <v>4</v>
      </c>
      <c r="C364" s="66"/>
      <c r="D364" s="66">
        <f t="shared" ref="D364:AL364" si="90">SUM(D360:D363)</f>
        <v>12</v>
      </c>
      <c r="E364" s="66">
        <f t="shared" si="90"/>
        <v>2</v>
      </c>
      <c r="F364" s="66">
        <f t="shared" si="90"/>
        <v>1</v>
      </c>
      <c r="G364" s="66">
        <f t="shared" si="90"/>
        <v>0</v>
      </c>
      <c r="H364" s="61">
        <f t="shared" si="90"/>
        <v>15</v>
      </c>
      <c r="I364" s="66">
        <f t="shared" si="90"/>
        <v>0</v>
      </c>
      <c r="J364" s="66">
        <f t="shared" si="90"/>
        <v>0</v>
      </c>
      <c r="K364" s="66">
        <f t="shared" si="90"/>
        <v>0</v>
      </c>
      <c r="L364" s="66">
        <f t="shared" si="90"/>
        <v>0</v>
      </c>
      <c r="M364" s="61">
        <f t="shared" si="90"/>
        <v>0</v>
      </c>
      <c r="N364" s="66">
        <f t="shared" si="90"/>
        <v>4</v>
      </c>
      <c r="O364" s="66">
        <f t="shared" si="90"/>
        <v>4</v>
      </c>
      <c r="P364" s="66">
        <f t="shared" si="90"/>
        <v>0</v>
      </c>
      <c r="Q364" s="66">
        <f t="shared" si="90"/>
        <v>0</v>
      </c>
      <c r="R364" s="61">
        <f t="shared" si="90"/>
        <v>8</v>
      </c>
      <c r="S364" s="66">
        <f t="shared" si="90"/>
        <v>0</v>
      </c>
      <c r="T364" s="66">
        <f t="shared" si="90"/>
        <v>0</v>
      </c>
      <c r="U364" s="66">
        <f t="shared" si="90"/>
        <v>0</v>
      </c>
      <c r="V364" s="66">
        <f t="shared" si="90"/>
        <v>0</v>
      </c>
      <c r="W364" s="61">
        <f t="shared" si="90"/>
        <v>0</v>
      </c>
      <c r="X364" s="66">
        <f t="shared" si="90"/>
        <v>0</v>
      </c>
      <c r="Y364" s="66">
        <f t="shared" si="90"/>
        <v>0</v>
      </c>
      <c r="Z364" s="66">
        <f t="shared" si="90"/>
        <v>0</v>
      </c>
      <c r="AA364" s="66">
        <f t="shared" si="90"/>
        <v>0</v>
      </c>
      <c r="AB364" s="61">
        <f t="shared" si="90"/>
        <v>0</v>
      </c>
      <c r="AC364" s="66">
        <f t="shared" si="90"/>
        <v>0</v>
      </c>
      <c r="AD364" s="66">
        <f t="shared" si="90"/>
        <v>0</v>
      </c>
      <c r="AE364" s="66">
        <f t="shared" si="90"/>
        <v>0</v>
      </c>
      <c r="AF364" s="66">
        <f t="shared" si="90"/>
        <v>0</v>
      </c>
      <c r="AG364" s="61">
        <f t="shared" si="90"/>
        <v>0</v>
      </c>
      <c r="AH364" s="66">
        <f t="shared" si="90"/>
        <v>0</v>
      </c>
      <c r="AI364" s="66">
        <f t="shared" si="90"/>
        <v>0</v>
      </c>
      <c r="AJ364" s="66">
        <f t="shared" si="90"/>
        <v>0</v>
      </c>
      <c r="AK364" s="66">
        <f t="shared" si="90"/>
        <v>0</v>
      </c>
      <c r="AL364" s="61">
        <f t="shared" si="90"/>
        <v>0</v>
      </c>
      <c r="AM364" s="68">
        <f t="shared" si="89"/>
        <v>23</v>
      </c>
    </row>
    <row r="365" spans="1:39" hidden="1" x14ac:dyDescent="0.35">
      <c r="A365" s="59" t="s">
        <v>357</v>
      </c>
      <c r="B365" s="54" t="s">
        <v>358</v>
      </c>
      <c r="C365" s="60" t="s">
        <v>225</v>
      </c>
      <c r="D365" s="60"/>
      <c r="E365" s="60"/>
      <c r="F365" s="60"/>
      <c r="G365" s="60"/>
      <c r="H365" s="61">
        <f>SUM(D365:G365)</f>
        <v>0</v>
      </c>
      <c r="I365" s="60"/>
      <c r="J365" s="60"/>
      <c r="K365" s="60"/>
      <c r="L365" s="60"/>
      <c r="M365" s="61">
        <f>SUM(I365:L365)</f>
        <v>0</v>
      </c>
      <c r="N365" s="60"/>
      <c r="O365" s="60"/>
      <c r="P365" s="60"/>
      <c r="Q365" s="60"/>
      <c r="R365" s="61">
        <f>SUM(N365:Q365)</f>
        <v>0</v>
      </c>
      <c r="S365" s="60"/>
      <c r="T365" s="60"/>
      <c r="U365" s="60"/>
      <c r="V365" s="60"/>
      <c r="W365" s="61">
        <f>SUM(S365:V365)</f>
        <v>0</v>
      </c>
      <c r="X365" s="60"/>
      <c r="Y365" s="60"/>
      <c r="Z365" s="60"/>
      <c r="AA365" s="60"/>
      <c r="AB365" s="61">
        <f>SUM(X365:AA365)</f>
        <v>0</v>
      </c>
      <c r="AC365" s="60"/>
      <c r="AD365" s="60"/>
      <c r="AE365" s="60"/>
      <c r="AF365" s="60"/>
      <c r="AG365" s="61">
        <f>SUM(AC365:AF365)</f>
        <v>0</v>
      </c>
      <c r="AH365" s="60"/>
      <c r="AI365" s="60"/>
      <c r="AJ365" s="60"/>
      <c r="AK365" s="60"/>
      <c r="AL365" s="61">
        <f>SUM(AH365:AK365)</f>
        <v>0</v>
      </c>
      <c r="AM365" s="68">
        <f t="shared" si="89"/>
        <v>0</v>
      </c>
    </row>
    <row r="366" spans="1:39" hidden="1" x14ac:dyDescent="0.35">
      <c r="A366" s="111" t="s">
        <v>397</v>
      </c>
      <c r="B366" s="54"/>
      <c r="C366" s="63" t="s">
        <v>227</v>
      </c>
      <c r="D366" s="63"/>
      <c r="E366" s="63"/>
      <c r="F366" s="63"/>
      <c r="G366" s="63"/>
      <c r="H366" s="61">
        <f>SUM(D366:G366)</f>
        <v>0</v>
      </c>
      <c r="I366" s="63"/>
      <c r="J366" s="63"/>
      <c r="K366" s="63"/>
      <c r="L366" s="63"/>
      <c r="M366" s="61">
        <f>SUM(I366:L366)</f>
        <v>0</v>
      </c>
      <c r="N366" s="63"/>
      <c r="O366" s="63"/>
      <c r="P366" s="63"/>
      <c r="Q366" s="63"/>
      <c r="R366" s="61">
        <f>SUM(N366:Q366)</f>
        <v>0</v>
      </c>
      <c r="S366" s="63"/>
      <c r="T366" s="63"/>
      <c r="U366" s="63"/>
      <c r="V366" s="63"/>
      <c r="W366" s="61">
        <f>SUM(S366:V366)</f>
        <v>0</v>
      </c>
      <c r="X366" s="63"/>
      <c r="Y366" s="63"/>
      <c r="Z366" s="63"/>
      <c r="AA366" s="63"/>
      <c r="AB366" s="61">
        <f>SUM(X366:AA366)</f>
        <v>0</v>
      </c>
      <c r="AC366" s="63"/>
      <c r="AD366" s="63"/>
      <c r="AE366" s="63"/>
      <c r="AF366" s="63"/>
      <c r="AG366" s="61">
        <f>SUM(AC366:AF366)</f>
        <v>0</v>
      </c>
      <c r="AH366" s="63"/>
      <c r="AI366" s="63"/>
      <c r="AJ366" s="63"/>
      <c r="AK366" s="63"/>
      <c r="AL366" s="61">
        <f>SUM(AH366:AK366)</f>
        <v>0</v>
      </c>
      <c r="AM366" s="68">
        <f t="shared" si="89"/>
        <v>0</v>
      </c>
    </row>
    <row r="367" spans="1:39" hidden="1" x14ac:dyDescent="0.35">
      <c r="A367" s="111"/>
      <c r="B367" s="54"/>
      <c r="C367" s="60" t="s">
        <v>228</v>
      </c>
      <c r="D367" s="60"/>
      <c r="E367" s="60"/>
      <c r="F367" s="60"/>
      <c r="G367" s="60"/>
      <c r="H367" s="61">
        <f>SUM(D367:G367)</f>
        <v>0</v>
      </c>
      <c r="I367" s="60"/>
      <c r="J367" s="60"/>
      <c r="K367" s="60"/>
      <c r="L367" s="60"/>
      <c r="M367" s="61">
        <f>SUM(I367:L367)</f>
        <v>0</v>
      </c>
      <c r="N367" s="60"/>
      <c r="O367" s="60"/>
      <c r="P367" s="60"/>
      <c r="Q367" s="60"/>
      <c r="R367" s="61">
        <f>SUM(N367:Q367)</f>
        <v>0</v>
      </c>
      <c r="S367" s="60"/>
      <c r="T367" s="60"/>
      <c r="U367" s="60"/>
      <c r="V367" s="60"/>
      <c r="W367" s="61">
        <f>SUM(S367:V367)</f>
        <v>0</v>
      </c>
      <c r="X367" s="60"/>
      <c r="Y367" s="60"/>
      <c r="Z367" s="60"/>
      <c r="AA367" s="60"/>
      <c r="AB367" s="61">
        <f>SUM(X367:AA367)</f>
        <v>0</v>
      </c>
      <c r="AC367" s="60"/>
      <c r="AD367" s="60"/>
      <c r="AE367" s="60"/>
      <c r="AF367" s="60"/>
      <c r="AG367" s="61">
        <f>SUM(AC367:AF367)</f>
        <v>0</v>
      </c>
      <c r="AH367" s="60"/>
      <c r="AI367" s="60"/>
      <c r="AJ367" s="60"/>
      <c r="AK367" s="60"/>
      <c r="AL367" s="61">
        <f>SUM(AH367:AK367)</f>
        <v>0</v>
      </c>
      <c r="AM367" s="68">
        <f t="shared" si="89"/>
        <v>0</v>
      </c>
    </row>
    <row r="368" spans="1:39" hidden="1" x14ac:dyDescent="0.35">
      <c r="A368" s="111"/>
      <c r="B368" s="54"/>
      <c r="C368" s="63" t="s">
        <v>235</v>
      </c>
      <c r="D368" s="63"/>
      <c r="E368" s="63"/>
      <c r="F368" s="63"/>
      <c r="G368" s="63"/>
      <c r="H368" s="61">
        <f>SUM(D368:G368)</f>
        <v>0</v>
      </c>
      <c r="I368" s="63"/>
      <c r="J368" s="63"/>
      <c r="K368" s="63"/>
      <c r="L368" s="63"/>
      <c r="M368" s="61">
        <f>SUM(I368:L368)</f>
        <v>0</v>
      </c>
      <c r="N368" s="63"/>
      <c r="O368" s="63"/>
      <c r="P368" s="63"/>
      <c r="Q368" s="63"/>
      <c r="R368" s="61">
        <f>SUM(N368:Q368)</f>
        <v>0</v>
      </c>
      <c r="S368" s="63"/>
      <c r="T368" s="63"/>
      <c r="U368" s="63"/>
      <c r="V368" s="63"/>
      <c r="W368" s="61">
        <f>SUM(S368:V368)</f>
        <v>0</v>
      </c>
      <c r="X368" s="63"/>
      <c r="Y368" s="63"/>
      <c r="Z368" s="63"/>
      <c r="AA368" s="63"/>
      <c r="AB368" s="61">
        <f>SUM(X368:AA368)</f>
        <v>0</v>
      </c>
      <c r="AC368" s="63"/>
      <c r="AD368" s="63"/>
      <c r="AE368" s="63"/>
      <c r="AF368" s="63"/>
      <c r="AG368" s="61">
        <f>SUM(AC368:AF368)</f>
        <v>0</v>
      </c>
      <c r="AH368" s="63"/>
      <c r="AI368" s="63"/>
      <c r="AJ368" s="63"/>
      <c r="AK368" s="63"/>
      <c r="AL368" s="61">
        <f>SUM(AH368:AK368)</f>
        <v>0</v>
      </c>
      <c r="AM368" s="68">
        <f t="shared" si="89"/>
        <v>0</v>
      </c>
    </row>
    <row r="369" spans="1:39" x14ac:dyDescent="0.35">
      <c r="A369" s="66" t="s">
        <v>357</v>
      </c>
      <c r="B369" s="67" t="s">
        <v>358</v>
      </c>
      <c r="C369" s="66"/>
      <c r="D369" s="66">
        <f t="shared" ref="D369:AL369" si="91">SUM(D365:D368)</f>
        <v>0</v>
      </c>
      <c r="E369" s="66">
        <f t="shared" si="91"/>
        <v>0</v>
      </c>
      <c r="F369" s="66">
        <f t="shared" si="91"/>
        <v>0</v>
      </c>
      <c r="G369" s="66">
        <f t="shared" si="91"/>
        <v>0</v>
      </c>
      <c r="H369" s="61">
        <f t="shared" si="91"/>
        <v>0</v>
      </c>
      <c r="I369" s="66">
        <f t="shared" si="91"/>
        <v>0</v>
      </c>
      <c r="J369" s="66">
        <f t="shared" si="91"/>
        <v>0</v>
      </c>
      <c r="K369" s="66">
        <f t="shared" si="91"/>
        <v>0</v>
      </c>
      <c r="L369" s="66">
        <f t="shared" si="91"/>
        <v>0</v>
      </c>
      <c r="M369" s="61">
        <f t="shared" si="91"/>
        <v>0</v>
      </c>
      <c r="N369" s="66">
        <f t="shared" si="91"/>
        <v>0</v>
      </c>
      <c r="O369" s="66">
        <f t="shared" si="91"/>
        <v>0</v>
      </c>
      <c r="P369" s="66">
        <f t="shared" si="91"/>
        <v>0</v>
      </c>
      <c r="Q369" s="66">
        <f t="shared" si="91"/>
        <v>0</v>
      </c>
      <c r="R369" s="61">
        <f t="shared" si="91"/>
        <v>0</v>
      </c>
      <c r="S369" s="66">
        <f t="shared" si="91"/>
        <v>0</v>
      </c>
      <c r="T369" s="66">
        <f t="shared" si="91"/>
        <v>0</v>
      </c>
      <c r="U369" s="66">
        <f t="shared" si="91"/>
        <v>0</v>
      </c>
      <c r="V369" s="66">
        <f t="shared" si="91"/>
        <v>0</v>
      </c>
      <c r="W369" s="61">
        <f t="shared" si="91"/>
        <v>0</v>
      </c>
      <c r="X369" s="66">
        <f t="shared" si="91"/>
        <v>0</v>
      </c>
      <c r="Y369" s="66">
        <f t="shared" si="91"/>
        <v>0</v>
      </c>
      <c r="Z369" s="66">
        <f t="shared" si="91"/>
        <v>0</v>
      </c>
      <c r="AA369" s="66">
        <f t="shared" si="91"/>
        <v>0</v>
      </c>
      <c r="AB369" s="61">
        <f t="shared" si="91"/>
        <v>0</v>
      </c>
      <c r="AC369" s="66">
        <f t="shared" si="91"/>
        <v>0</v>
      </c>
      <c r="AD369" s="66">
        <f t="shared" si="91"/>
        <v>0</v>
      </c>
      <c r="AE369" s="66">
        <f t="shared" si="91"/>
        <v>0</v>
      </c>
      <c r="AF369" s="66">
        <f t="shared" si="91"/>
        <v>0</v>
      </c>
      <c r="AG369" s="61">
        <f t="shared" si="91"/>
        <v>0</v>
      </c>
      <c r="AH369" s="66">
        <f t="shared" si="91"/>
        <v>0</v>
      </c>
      <c r="AI369" s="66">
        <f t="shared" si="91"/>
        <v>0</v>
      </c>
      <c r="AJ369" s="66">
        <f t="shared" si="91"/>
        <v>0</v>
      </c>
      <c r="AK369" s="66">
        <f t="shared" si="91"/>
        <v>0</v>
      </c>
      <c r="AL369" s="61">
        <f t="shared" si="91"/>
        <v>0</v>
      </c>
      <c r="AM369" s="68">
        <f t="shared" si="89"/>
        <v>0</v>
      </c>
    </row>
    <row r="370" spans="1:39" hidden="1" x14ac:dyDescent="0.35">
      <c r="A370" s="59" t="s">
        <v>359</v>
      </c>
      <c r="B370" s="54" t="s">
        <v>360</v>
      </c>
      <c r="C370" s="60" t="s">
        <v>225</v>
      </c>
      <c r="D370" s="60">
        <v>3</v>
      </c>
      <c r="E370" s="60"/>
      <c r="F370" s="60"/>
      <c r="G370" s="60"/>
      <c r="H370" s="61">
        <f>SUM(D370:G370)</f>
        <v>3</v>
      </c>
      <c r="I370" s="60"/>
      <c r="J370" s="60"/>
      <c r="K370" s="60"/>
      <c r="L370" s="60"/>
      <c r="M370" s="61">
        <f>SUM(I370:L370)</f>
        <v>0</v>
      </c>
      <c r="N370" s="60"/>
      <c r="O370" s="60"/>
      <c r="P370" s="60"/>
      <c r="Q370" s="60"/>
      <c r="R370" s="61">
        <f>SUM(N370:Q370)</f>
        <v>0</v>
      </c>
      <c r="S370" s="60"/>
      <c r="T370" s="60"/>
      <c r="U370" s="60"/>
      <c r="V370" s="60"/>
      <c r="W370" s="61">
        <f>SUM(S370:V370)</f>
        <v>0</v>
      </c>
      <c r="X370" s="60"/>
      <c r="Y370" s="60"/>
      <c r="Z370" s="60"/>
      <c r="AA370" s="60"/>
      <c r="AB370" s="61">
        <f>SUM(X370:AA370)</f>
        <v>0</v>
      </c>
      <c r="AC370" s="60"/>
      <c r="AD370" s="60"/>
      <c r="AE370" s="60"/>
      <c r="AF370" s="60"/>
      <c r="AG370" s="61">
        <f>SUM(AC370:AF370)</f>
        <v>0</v>
      </c>
      <c r="AH370" s="60"/>
      <c r="AI370" s="60"/>
      <c r="AJ370" s="60"/>
      <c r="AK370" s="60"/>
      <c r="AL370" s="61">
        <f>SUM(AH370:AK370)</f>
        <v>0</v>
      </c>
      <c r="AM370" s="68">
        <f t="shared" si="89"/>
        <v>3</v>
      </c>
    </row>
    <row r="371" spans="1:39" hidden="1" x14ac:dyDescent="0.35">
      <c r="A371" s="111" t="s">
        <v>245</v>
      </c>
      <c r="B371" s="54"/>
      <c r="C371" s="63" t="s">
        <v>227</v>
      </c>
      <c r="D371" s="63">
        <v>2</v>
      </c>
      <c r="E371" s="63"/>
      <c r="F371" s="63"/>
      <c r="G371" s="63"/>
      <c r="H371" s="61">
        <f>SUM(D371:G371)</f>
        <v>2</v>
      </c>
      <c r="I371" s="63"/>
      <c r="J371" s="63"/>
      <c r="K371" s="63"/>
      <c r="L371" s="63"/>
      <c r="M371" s="61">
        <f>SUM(I371:L371)</f>
        <v>0</v>
      </c>
      <c r="N371" s="63">
        <v>1</v>
      </c>
      <c r="O371" s="63"/>
      <c r="P371" s="63"/>
      <c r="Q371" s="63"/>
      <c r="R371" s="61">
        <f>SUM(N371:Q371)</f>
        <v>1</v>
      </c>
      <c r="S371" s="63"/>
      <c r="T371" s="63"/>
      <c r="U371" s="63"/>
      <c r="V371" s="63"/>
      <c r="W371" s="61">
        <f>SUM(S371:V371)</f>
        <v>0</v>
      </c>
      <c r="X371" s="63"/>
      <c r="Y371" s="63"/>
      <c r="Z371" s="63"/>
      <c r="AA371" s="63"/>
      <c r="AB371" s="61">
        <f>SUM(X371:AA371)</f>
        <v>0</v>
      </c>
      <c r="AC371" s="63"/>
      <c r="AD371" s="63"/>
      <c r="AE371" s="63"/>
      <c r="AF371" s="63"/>
      <c r="AG371" s="61">
        <f>SUM(AC371:AF371)</f>
        <v>0</v>
      </c>
      <c r="AH371" s="63"/>
      <c r="AI371" s="63"/>
      <c r="AJ371" s="63"/>
      <c r="AK371" s="63"/>
      <c r="AL371" s="61">
        <f>SUM(AH371:AK371)</f>
        <v>0</v>
      </c>
      <c r="AM371" s="68">
        <f t="shared" si="89"/>
        <v>3</v>
      </c>
    </row>
    <row r="372" spans="1:39" hidden="1" x14ac:dyDescent="0.35">
      <c r="A372" s="111"/>
      <c r="B372" s="54"/>
      <c r="C372" s="60" t="s">
        <v>228</v>
      </c>
      <c r="D372" s="60">
        <v>2</v>
      </c>
      <c r="E372" s="60"/>
      <c r="F372" s="60"/>
      <c r="G372" s="60"/>
      <c r="H372" s="61">
        <f>SUM(D372:G372)</f>
        <v>2</v>
      </c>
      <c r="I372" s="60"/>
      <c r="J372" s="60"/>
      <c r="K372" s="60"/>
      <c r="L372" s="60"/>
      <c r="M372" s="61">
        <f>SUM(I372:L372)</f>
        <v>0</v>
      </c>
      <c r="N372" s="60">
        <v>1</v>
      </c>
      <c r="O372" s="60"/>
      <c r="P372" s="60"/>
      <c r="Q372" s="60"/>
      <c r="R372" s="61">
        <f>SUM(N372:Q372)</f>
        <v>1</v>
      </c>
      <c r="S372" s="60"/>
      <c r="T372" s="60"/>
      <c r="U372" s="60"/>
      <c r="V372" s="60"/>
      <c r="W372" s="61">
        <f>SUM(S372:V372)</f>
        <v>0</v>
      </c>
      <c r="X372" s="60"/>
      <c r="Y372" s="60"/>
      <c r="Z372" s="60"/>
      <c r="AA372" s="60"/>
      <c r="AB372" s="61">
        <f>SUM(X372:AA372)</f>
        <v>0</v>
      </c>
      <c r="AC372" s="60"/>
      <c r="AD372" s="60"/>
      <c r="AE372" s="60"/>
      <c r="AF372" s="60"/>
      <c r="AG372" s="61">
        <f>SUM(AC372:AF372)</f>
        <v>0</v>
      </c>
      <c r="AH372" s="60"/>
      <c r="AI372" s="60"/>
      <c r="AJ372" s="60"/>
      <c r="AK372" s="60"/>
      <c r="AL372" s="61">
        <f>SUM(AH372:AK372)</f>
        <v>0</v>
      </c>
      <c r="AM372" s="68">
        <f t="shared" si="89"/>
        <v>3</v>
      </c>
    </row>
    <row r="373" spans="1:39" hidden="1" x14ac:dyDescent="0.35">
      <c r="A373" s="111"/>
      <c r="B373" s="54"/>
      <c r="C373" s="63" t="s">
        <v>235</v>
      </c>
      <c r="D373" s="63">
        <v>3</v>
      </c>
      <c r="E373" s="63"/>
      <c r="F373" s="63"/>
      <c r="G373" s="63"/>
      <c r="H373" s="61">
        <f>SUM(D373:G373)</f>
        <v>3</v>
      </c>
      <c r="I373" s="63"/>
      <c r="J373" s="63"/>
      <c r="K373" s="63"/>
      <c r="L373" s="63"/>
      <c r="M373" s="61">
        <f>SUM(I373:L373)</f>
        <v>0</v>
      </c>
      <c r="N373" s="63">
        <v>1</v>
      </c>
      <c r="O373" s="63"/>
      <c r="P373" s="63"/>
      <c r="Q373" s="63"/>
      <c r="R373" s="61">
        <f>SUM(N373:Q373)</f>
        <v>1</v>
      </c>
      <c r="S373" s="63"/>
      <c r="T373" s="63"/>
      <c r="U373" s="63"/>
      <c r="V373" s="63"/>
      <c r="W373" s="61">
        <f>SUM(S373:V373)</f>
        <v>0</v>
      </c>
      <c r="X373" s="63"/>
      <c r="Y373" s="63"/>
      <c r="Z373" s="63"/>
      <c r="AA373" s="63"/>
      <c r="AB373" s="61">
        <f>SUM(X373:AA373)</f>
        <v>0</v>
      </c>
      <c r="AC373" s="63"/>
      <c r="AD373" s="63"/>
      <c r="AE373" s="63"/>
      <c r="AF373" s="63"/>
      <c r="AG373" s="61">
        <f>SUM(AC373:AF373)</f>
        <v>0</v>
      </c>
      <c r="AH373" s="63"/>
      <c r="AI373" s="63"/>
      <c r="AJ373" s="63"/>
      <c r="AK373" s="63"/>
      <c r="AL373" s="61">
        <f>SUM(AH373:AK373)</f>
        <v>0</v>
      </c>
      <c r="AM373" s="68">
        <f t="shared" si="89"/>
        <v>4</v>
      </c>
    </row>
    <row r="374" spans="1:39" x14ac:dyDescent="0.35">
      <c r="A374" s="66" t="s">
        <v>359</v>
      </c>
      <c r="B374" s="67" t="s">
        <v>360</v>
      </c>
      <c r="C374" s="66"/>
      <c r="D374" s="66">
        <f t="shared" ref="D374:AL374" si="92">SUM(D370:D373)</f>
        <v>10</v>
      </c>
      <c r="E374" s="66">
        <f t="shared" si="92"/>
        <v>0</v>
      </c>
      <c r="F374" s="66">
        <f t="shared" si="92"/>
        <v>0</v>
      </c>
      <c r="G374" s="66">
        <f t="shared" si="92"/>
        <v>0</v>
      </c>
      <c r="H374" s="61">
        <f t="shared" si="92"/>
        <v>10</v>
      </c>
      <c r="I374" s="66">
        <f t="shared" si="92"/>
        <v>0</v>
      </c>
      <c r="J374" s="66">
        <f t="shared" si="92"/>
        <v>0</v>
      </c>
      <c r="K374" s="66">
        <f t="shared" si="92"/>
        <v>0</v>
      </c>
      <c r="L374" s="66">
        <f t="shared" si="92"/>
        <v>0</v>
      </c>
      <c r="M374" s="61">
        <f t="shared" si="92"/>
        <v>0</v>
      </c>
      <c r="N374" s="66">
        <f t="shared" si="92"/>
        <v>3</v>
      </c>
      <c r="O374" s="66">
        <f t="shared" si="92"/>
        <v>0</v>
      </c>
      <c r="P374" s="66">
        <f t="shared" si="92"/>
        <v>0</v>
      </c>
      <c r="Q374" s="66">
        <f t="shared" si="92"/>
        <v>0</v>
      </c>
      <c r="R374" s="61">
        <f t="shared" si="92"/>
        <v>3</v>
      </c>
      <c r="S374" s="66">
        <f t="shared" si="92"/>
        <v>0</v>
      </c>
      <c r="T374" s="66">
        <f t="shared" si="92"/>
        <v>0</v>
      </c>
      <c r="U374" s="66">
        <f t="shared" si="92"/>
        <v>0</v>
      </c>
      <c r="V374" s="66">
        <f t="shared" si="92"/>
        <v>0</v>
      </c>
      <c r="W374" s="61">
        <f t="shared" si="92"/>
        <v>0</v>
      </c>
      <c r="X374" s="66">
        <f t="shared" si="92"/>
        <v>0</v>
      </c>
      <c r="Y374" s="66">
        <f t="shared" si="92"/>
        <v>0</v>
      </c>
      <c r="Z374" s="66">
        <f t="shared" si="92"/>
        <v>0</v>
      </c>
      <c r="AA374" s="66">
        <f t="shared" si="92"/>
        <v>0</v>
      </c>
      <c r="AB374" s="61">
        <f t="shared" si="92"/>
        <v>0</v>
      </c>
      <c r="AC374" s="66">
        <f t="shared" si="92"/>
        <v>0</v>
      </c>
      <c r="AD374" s="66">
        <f t="shared" si="92"/>
        <v>0</v>
      </c>
      <c r="AE374" s="66">
        <f t="shared" si="92"/>
        <v>0</v>
      </c>
      <c r="AF374" s="66">
        <f t="shared" si="92"/>
        <v>0</v>
      </c>
      <c r="AG374" s="61">
        <f t="shared" si="92"/>
        <v>0</v>
      </c>
      <c r="AH374" s="66">
        <f t="shared" si="92"/>
        <v>0</v>
      </c>
      <c r="AI374" s="66">
        <f t="shared" si="92"/>
        <v>0</v>
      </c>
      <c r="AJ374" s="66">
        <f t="shared" si="92"/>
        <v>0</v>
      </c>
      <c r="AK374" s="66">
        <f t="shared" si="92"/>
        <v>0</v>
      </c>
      <c r="AL374" s="61">
        <f t="shared" si="92"/>
        <v>0</v>
      </c>
      <c r="AM374" s="68">
        <f t="shared" si="89"/>
        <v>13</v>
      </c>
    </row>
    <row r="375" spans="1:39" hidden="1" x14ac:dyDescent="0.35">
      <c r="A375" s="59" t="s">
        <v>361</v>
      </c>
      <c r="B375" s="54">
        <v>30</v>
      </c>
      <c r="C375" s="60" t="s">
        <v>225</v>
      </c>
      <c r="D375" s="60"/>
      <c r="E375" s="60"/>
      <c r="F375" s="60"/>
      <c r="G375" s="60"/>
      <c r="H375" s="61">
        <f>SUM(D375:G375)</f>
        <v>0</v>
      </c>
      <c r="I375" s="60"/>
      <c r="J375" s="60"/>
      <c r="K375" s="60"/>
      <c r="L375" s="60"/>
      <c r="M375" s="61">
        <f>SUM(I375:L375)</f>
        <v>0</v>
      </c>
      <c r="N375" s="60"/>
      <c r="O375" s="60"/>
      <c r="P375" s="60"/>
      <c r="Q375" s="60"/>
      <c r="R375" s="61">
        <f>SUM(N375:Q375)</f>
        <v>0</v>
      </c>
      <c r="S375" s="60"/>
      <c r="T375" s="60"/>
      <c r="U375" s="60"/>
      <c r="V375" s="60"/>
      <c r="W375" s="61">
        <f>SUM(S375:V375)</f>
        <v>0</v>
      </c>
      <c r="X375" s="60"/>
      <c r="Y375" s="60"/>
      <c r="Z375" s="60"/>
      <c r="AA375" s="60"/>
      <c r="AB375" s="61">
        <f>SUM(X375:AA375)</f>
        <v>0</v>
      </c>
      <c r="AC375" s="60"/>
      <c r="AD375" s="60"/>
      <c r="AE375" s="60"/>
      <c r="AF375" s="60"/>
      <c r="AG375" s="61">
        <f>SUM(AC375:AF375)</f>
        <v>0</v>
      </c>
      <c r="AH375" s="60"/>
      <c r="AI375" s="60"/>
      <c r="AJ375" s="60"/>
      <c r="AK375" s="60"/>
      <c r="AL375" s="61">
        <f>SUM(AH375:AK375)</f>
        <v>0</v>
      </c>
      <c r="AM375" s="68">
        <f t="shared" si="89"/>
        <v>0</v>
      </c>
    </row>
    <row r="376" spans="1:39" hidden="1" x14ac:dyDescent="0.35">
      <c r="A376" s="111" t="s">
        <v>263</v>
      </c>
      <c r="B376" s="54"/>
      <c r="C376" s="63" t="s">
        <v>227</v>
      </c>
      <c r="D376" s="63"/>
      <c r="E376" s="63"/>
      <c r="F376" s="63"/>
      <c r="G376" s="63"/>
      <c r="H376" s="61">
        <f>SUM(D376:G376)</f>
        <v>0</v>
      </c>
      <c r="I376" s="63"/>
      <c r="J376" s="63"/>
      <c r="K376" s="63"/>
      <c r="L376" s="63"/>
      <c r="M376" s="61">
        <f>SUM(I376:L376)</f>
        <v>0</v>
      </c>
      <c r="N376" s="63"/>
      <c r="O376" s="63"/>
      <c r="P376" s="63"/>
      <c r="Q376" s="63"/>
      <c r="R376" s="61">
        <f>SUM(N376:Q376)</f>
        <v>0</v>
      </c>
      <c r="S376" s="63"/>
      <c r="T376" s="63"/>
      <c r="U376" s="63"/>
      <c r="V376" s="63"/>
      <c r="W376" s="61">
        <f>SUM(S376:V376)</f>
        <v>0</v>
      </c>
      <c r="X376" s="63"/>
      <c r="Y376" s="63"/>
      <c r="Z376" s="63"/>
      <c r="AA376" s="63"/>
      <c r="AB376" s="61">
        <f>SUM(X376:AA376)</f>
        <v>0</v>
      </c>
      <c r="AC376" s="63"/>
      <c r="AD376" s="63"/>
      <c r="AE376" s="63"/>
      <c r="AF376" s="63"/>
      <c r="AG376" s="61">
        <f>SUM(AC376:AF376)</f>
        <v>0</v>
      </c>
      <c r="AH376" s="63"/>
      <c r="AI376" s="63"/>
      <c r="AJ376" s="63"/>
      <c r="AK376" s="63"/>
      <c r="AL376" s="61">
        <f>SUM(AH376:AK376)</f>
        <v>0</v>
      </c>
      <c r="AM376" s="68">
        <f t="shared" si="89"/>
        <v>0</v>
      </c>
    </row>
    <row r="377" spans="1:39" hidden="1" x14ac:dyDescent="0.35">
      <c r="A377" s="111"/>
      <c r="B377" s="54"/>
      <c r="C377" s="60" t="s">
        <v>228</v>
      </c>
      <c r="D377" s="60"/>
      <c r="E377" s="60"/>
      <c r="F377" s="60"/>
      <c r="G377" s="60"/>
      <c r="H377" s="61">
        <f>SUM(D377:G377)</f>
        <v>0</v>
      </c>
      <c r="I377" s="60"/>
      <c r="J377" s="60"/>
      <c r="K377" s="60"/>
      <c r="L377" s="60"/>
      <c r="M377" s="61">
        <f>SUM(I377:L377)</f>
        <v>0</v>
      </c>
      <c r="N377" s="60"/>
      <c r="O377" s="60"/>
      <c r="P377" s="60"/>
      <c r="Q377" s="60"/>
      <c r="R377" s="61">
        <f>SUM(N377:Q377)</f>
        <v>0</v>
      </c>
      <c r="S377" s="60"/>
      <c r="T377" s="60"/>
      <c r="U377" s="60"/>
      <c r="V377" s="60"/>
      <c r="W377" s="61">
        <f>SUM(S377:V377)</f>
        <v>0</v>
      </c>
      <c r="X377" s="60"/>
      <c r="Y377" s="60"/>
      <c r="Z377" s="60"/>
      <c r="AA377" s="60"/>
      <c r="AB377" s="61">
        <f>SUM(X377:AA377)</f>
        <v>0</v>
      </c>
      <c r="AC377" s="60"/>
      <c r="AD377" s="60"/>
      <c r="AE377" s="60"/>
      <c r="AF377" s="60"/>
      <c r="AG377" s="61">
        <f>SUM(AC377:AF377)</f>
        <v>0</v>
      </c>
      <c r="AH377" s="60"/>
      <c r="AI377" s="60"/>
      <c r="AJ377" s="60"/>
      <c r="AK377" s="60"/>
      <c r="AL377" s="61">
        <f>SUM(AH377:AK377)</f>
        <v>0</v>
      </c>
      <c r="AM377" s="68">
        <f t="shared" si="89"/>
        <v>0</v>
      </c>
    </row>
    <row r="378" spans="1:39" hidden="1" x14ac:dyDescent="0.35">
      <c r="A378" s="111"/>
      <c r="B378" s="54"/>
      <c r="C378" s="63" t="s">
        <v>235</v>
      </c>
      <c r="D378" s="63"/>
      <c r="E378" s="63"/>
      <c r="F378" s="63"/>
      <c r="G378" s="63"/>
      <c r="H378" s="61">
        <f>SUM(D378:G378)</f>
        <v>0</v>
      </c>
      <c r="I378" s="63"/>
      <c r="J378" s="63"/>
      <c r="K378" s="63"/>
      <c r="L378" s="63"/>
      <c r="M378" s="61">
        <f>SUM(I378:L378)</f>
        <v>0</v>
      </c>
      <c r="N378" s="63"/>
      <c r="O378" s="63"/>
      <c r="P378" s="63"/>
      <c r="Q378" s="63"/>
      <c r="R378" s="61">
        <f>SUM(N378:Q378)</f>
        <v>0</v>
      </c>
      <c r="S378" s="63"/>
      <c r="T378" s="63"/>
      <c r="U378" s="63"/>
      <c r="V378" s="63"/>
      <c r="W378" s="61">
        <f>SUM(S378:V378)</f>
        <v>0</v>
      </c>
      <c r="X378" s="63"/>
      <c r="Y378" s="63"/>
      <c r="Z378" s="63"/>
      <c r="AA378" s="63"/>
      <c r="AB378" s="61">
        <f>SUM(X378:AA378)</f>
        <v>0</v>
      </c>
      <c r="AC378" s="63"/>
      <c r="AD378" s="63"/>
      <c r="AE378" s="63"/>
      <c r="AF378" s="63"/>
      <c r="AG378" s="61">
        <f>SUM(AC378:AF378)</f>
        <v>0</v>
      </c>
      <c r="AH378" s="63"/>
      <c r="AI378" s="63"/>
      <c r="AJ378" s="63"/>
      <c r="AK378" s="63"/>
      <c r="AL378" s="61">
        <f>SUM(AH378:AK378)</f>
        <v>0</v>
      </c>
      <c r="AM378" s="68">
        <f t="shared" si="89"/>
        <v>0</v>
      </c>
    </row>
    <row r="379" spans="1:39" s="87" customFormat="1" x14ac:dyDescent="0.35">
      <c r="A379" s="66" t="s">
        <v>361</v>
      </c>
      <c r="B379" s="67">
        <v>30</v>
      </c>
      <c r="C379" s="66"/>
      <c r="D379" s="66">
        <f t="shared" ref="D379:AL379" si="93">SUM(D375:D378)</f>
        <v>0</v>
      </c>
      <c r="E379" s="66">
        <f t="shared" si="93"/>
        <v>0</v>
      </c>
      <c r="F379" s="66">
        <f t="shared" si="93"/>
        <v>0</v>
      </c>
      <c r="G379" s="66">
        <f t="shared" si="93"/>
        <v>0</v>
      </c>
      <c r="H379" s="61">
        <f t="shared" si="93"/>
        <v>0</v>
      </c>
      <c r="I379" s="66">
        <f t="shared" si="93"/>
        <v>0</v>
      </c>
      <c r="J379" s="66">
        <f t="shared" si="93"/>
        <v>0</v>
      </c>
      <c r="K379" s="66">
        <f t="shared" si="93"/>
        <v>0</v>
      </c>
      <c r="L379" s="66">
        <f t="shared" si="93"/>
        <v>0</v>
      </c>
      <c r="M379" s="61">
        <f t="shared" si="93"/>
        <v>0</v>
      </c>
      <c r="N379" s="66">
        <f t="shared" si="93"/>
        <v>0</v>
      </c>
      <c r="O379" s="66">
        <f t="shared" si="93"/>
        <v>0</v>
      </c>
      <c r="P379" s="66">
        <f t="shared" si="93"/>
        <v>0</v>
      </c>
      <c r="Q379" s="66">
        <f t="shared" si="93"/>
        <v>0</v>
      </c>
      <c r="R379" s="61">
        <f t="shared" si="93"/>
        <v>0</v>
      </c>
      <c r="S379" s="66">
        <f t="shared" si="93"/>
        <v>0</v>
      </c>
      <c r="T379" s="66">
        <f t="shared" si="93"/>
        <v>0</v>
      </c>
      <c r="U379" s="66">
        <f t="shared" si="93"/>
        <v>0</v>
      </c>
      <c r="V379" s="66">
        <f t="shared" si="93"/>
        <v>0</v>
      </c>
      <c r="W379" s="61">
        <f t="shared" si="93"/>
        <v>0</v>
      </c>
      <c r="X379" s="66">
        <f t="shared" si="93"/>
        <v>0</v>
      </c>
      <c r="Y379" s="66">
        <f t="shared" si="93"/>
        <v>0</v>
      </c>
      <c r="Z379" s="66">
        <f t="shared" si="93"/>
        <v>0</v>
      </c>
      <c r="AA379" s="66">
        <f t="shared" si="93"/>
        <v>0</v>
      </c>
      <c r="AB379" s="61">
        <f t="shared" si="93"/>
        <v>0</v>
      </c>
      <c r="AC379" s="66">
        <f t="shared" si="93"/>
        <v>0</v>
      </c>
      <c r="AD379" s="66">
        <f t="shared" si="93"/>
        <v>0</v>
      </c>
      <c r="AE379" s="66">
        <f t="shared" si="93"/>
        <v>0</v>
      </c>
      <c r="AF379" s="66">
        <f t="shared" si="93"/>
        <v>0</v>
      </c>
      <c r="AG379" s="61">
        <f t="shared" si="93"/>
        <v>0</v>
      </c>
      <c r="AH379" s="66">
        <f t="shared" si="93"/>
        <v>0</v>
      </c>
      <c r="AI379" s="66">
        <f t="shared" si="93"/>
        <v>0</v>
      </c>
      <c r="AJ379" s="66">
        <f t="shared" si="93"/>
        <v>0</v>
      </c>
      <c r="AK379" s="66">
        <f t="shared" si="93"/>
        <v>0</v>
      </c>
      <c r="AL379" s="61">
        <f t="shared" si="93"/>
        <v>0</v>
      </c>
      <c r="AM379" s="68">
        <f t="shared" si="89"/>
        <v>0</v>
      </c>
    </row>
    <row r="380" spans="1:39" s="87" customFormat="1" hidden="1" x14ac:dyDescent="0.35">
      <c r="A380" s="59" t="s">
        <v>362</v>
      </c>
      <c r="B380" s="54" t="s">
        <v>303</v>
      </c>
      <c r="C380" s="60" t="s">
        <v>225</v>
      </c>
      <c r="D380" s="60">
        <v>10</v>
      </c>
      <c r="E380" s="60">
        <v>2</v>
      </c>
      <c r="F380" s="60"/>
      <c r="G380" s="60"/>
      <c r="H380" s="61">
        <f>SUM(D380:G380)</f>
        <v>12</v>
      </c>
      <c r="I380" s="60"/>
      <c r="J380" s="60"/>
      <c r="K380" s="60"/>
      <c r="L380" s="60"/>
      <c r="M380" s="61">
        <f>SUM(I380:L380)</f>
        <v>0</v>
      </c>
      <c r="N380" s="60">
        <v>4</v>
      </c>
      <c r="O380" s="60">
        <v>1</v>
      </c>
      <c r="P380" s="60"/>
      <c r="Q380" s="60"/>
      <c r="R380" s="61">
        <f>SUM(N380:Q380)</f>
        <v>5</v>
      </c>
      <c r="S380" s="60"/>
      <c r="T380" s="60"/>
      <c r="U380" s="60"/>
      <c r="V380" s="60"/>
      <c r="W380" s="61">
        <f>SUM(S380:V380)</f>
        <v>0</v>
      </c>
      <c r="X380" s="60"/>
      <c r="Y380" s="60"/>
      <c r="Z380" s="60"/>
      <c r="AA380" s="60"/>
      <c r="AB380" s="61">
        <f>SUM(X380:AA380)</f>
        <v>0</v>
      </c>
      <c r="AC380" s="60">
        <v>4</v>
      </c>
      <c r="AD380" s="60"/>
      <c r="AE380" s="60"/>
      <c r="AF380" s="60"/>
      <c r="AG380" s="61">
        <f>SUM(AC380:AF380)</f>
        <v>4</v>
      </c>
      <c r="AH380" s="60">
        <v>4</v>
      </c>
      <c r="AI380" s="60"/>
      <c r="AJ380" s="60"/>
      <c r="AK380" s="60"/>
      <c r="AL380" s="61">
        <f>SUM(AH380:AK380)</f>
        <v>4</v>
      </c>
      <c r="AM380" s="68">
        <f t="shared" si="89"/>
        <v>25</v>
      </c>
    </row>
    <row r="381" spans="1:39" s="87" customFormat="1" hidden="1" x14ac:dyDescent="0.35">
      <c r="A381" s="111" t="s">
        <v>363</v>
      </c>
      <c r="B381" s="54"/>
      <c r="C381" s="63" t="s">
        <v>227</v>
      </c>
      <c r="D381" s="63">
        <v>8</v>
      </c>
      <c r="E381" s="63">
        <v>1</v>
      </c>
      <c r="F381" s="63"/>
      <c r="G381" s="63"/>
      <c r="H381" s="61">
        <f>SUM(D381:G381)</f>
        <v>9</v>
      </c>
      <c r="I381" s="63"/>
      <c r="J381" s="63"/>
      <c r="K381" s="63"/>
      <c r="L381" s="63"/>
      <c r="M381" s="61">
        <f>SUM(I381:L381)</f>
        <v>0</v>
      </c>
      <c r="N381" s="63">
        <v>1</v>
      </c>
      <c r="O381" s="63">
        <v>1</v>
      </c>
      <c r="P381" s="63"/>
      <c r="Q381" s="63"/>
      <c r="R381" s="61">
        <f>SUM(N381:Q381)</f>
        <v>2</v>
      </c>
      <c r="S381" s="63"/>
      <c r="T381" s="63"/>
      <c r="U381" s="63"/>
      <c r="V381" s="63"/>
      <c r="W381" s="61">
        <f>SUM(S381:V381)</f>
        <v>0</v>
      </c>
      <c r="X381" s="63"/>
      <c r="Y381" s="63"/>
      <c r="Z381" s="63"/>
      <c r="AA381" s="63"/>
      <c r="AB381" s="61">
        <f>SUM(X381:AA381)</f>
        <v>0</v>
      </c>
      <c r="AC381" s="63">
        <v>1</v>
      </c>
      <c r="AD381" s="63"/>
      <c r="AE381" s="63"/>
      <c r="AF381" s="63"/>
      <c r="AG381" s="61">
        <f>SUM(AC381:AF381)</f>
        <v>1</v>
      </c>
      <c r="AH381" s="63"/>
      <c r="AI381" s="63"/>
      <c r="AJ381" s="63"/>
      <c r="AK381" s="63"/>
      <c r="AL381" s="61">
        <f>SUM(AH381:AK381)</f>
        <v>0</v>
      </c>
      <c r="AM381" s="68">
        <f t="shared" si="89"/>
        <v>12</v>
      </c>
    </row>
    <row r="382" spans="1:39" s="87" customFormat="1" hidden="1" x14ac:dyDescent="0.35">
      <c r="A382" s="111"/>
      <c r="B382" s="54"/>
      <c r="C382" s="60" t="s">
        <v>228</v>
      </c>
      <c r="D382" s="60">
        <v>6</v>
      </c>
      <c r="E382" s="60"/>
      <c r="F382" s="60"/>
      <c r="G382" s="60"/>
      <c r="H382" s="61">
        <f>SUM(D382:G382)</f>
        <v>6</v>
      </c>
      <c r="I382" s="60"/>
      <c r="J382" s="60"/>
      <c r="K382" s="60"/>
      <c r="L382" s="60"/>
      <c r="M382" s="61">
        <f>SUM(I382:L382)</f>
        <v>0</v>
      </c>
      <c r="N382" s="60">
        <v>2</v>
      </c>
      <c r="O382" s="60"/>
      <c r="P382" s="60"/>
      <c r="Q382" s="60"/>
      <c r="R382" s="61">
        <f>SUM(N382:Q382)</f>
        <v>2</v>
      </c>
      <c r="S382" s="60"/>
      <c r="T382" s="60"/>
      <c r="U382" s="60"/>
      <c r="V382" s="60"/>
      <c r="W382" s="61">
        <f>SUM(S382:V382)</f>
        <v>0</v>
      </c>
      <c r="X382" s="60"/>
      <c r="Y382" s="60"/>
      <c r="Z382" s="60"/>
      <c r="AA382" s="60"/>
      <c r="AB382" s="61">
        <f>SUM(X382:AA382)</f>
        <v>0</v>
      </c>
      <c r="AC382" s="60">
        <v>1</v>
      </c>
      <c r="AD382" s="60"/>
      <c r="AE382" s="60"/>
      <c r="AF382" s="60"/>
      <c r="AG382" s="61">
        <f>SUM(AC382:AF382)</f>
        <v>1</v>
      </c>
      <c r="AH382" s="60">
        <v>1</v>
      </c>
      <c r="AI382" s="60"/>
      <c r="AJ382" s="60"/>
      <c r="AK382" s="60"/>
      <c r="AL382" s="61">
        <f>SUM(AH382:AK382)</f>
        <v>1</v>
      </c>
      <c r="AM382" s="68">
        <f t="shared" si="89"/>
        <v>10</v>
      </c>
    </row>
    <row r="383" spans="1:39" hidden="1" x14ac:dyDescent="0.35">
      <c r="A383" s="111"/>
      <c r="B383" s="54"/>
      <c r="C383" s="63" t="s">
        <v>235</v>
      </c>
      <c r="D383" s="63">
        <v>4</v>
      </c>
      <c r="E383" s="63"/>
      <c r="F383" s="63"/>
      <c r="G383" s="63"/>
      <c r="H383" s="61">
        <f>SUM(D383:G383)</f>
        <v>4</v>
      </c>
      <c r="I383" s="63"/>
      <c r="J383" s="63">
        <v>1</v>
      </c>
      <c r="K383" s="63"/>
      <c r="L383" s="63"/>
      <c r="M383" s="61">
        <f>SUM(I383:L383)</f>
        <v>1</v>
      </c>
      <c r="N383" s="63">
        <v>8</v>
      </c>
      <c r="O383" s="63">
        <v>1</v>
      </c>
      <c r="P383" s="63"/>
      <c r="Q383" s="63"/>
      <c r="R383" s="61">
        <f>SUM(N383:Q383)</f>
        <v>9</v>
      </c>
      <c r="S383" s="63"/>
      <c r="T383" s="63"/>
      <c r="U383" s="63"/>
      <c r="V383" s="63"/>
      <c r="W383" s="61">
        <f>SUM(S383:V383)</f>
        <v>0</v>
      </c>
      <c r="X383" s="63"/>
      <c r="Y383" s="63"/>
      <c r="Z383" s="63"/>
      <c r="AA383" s="63"/>
      <c r="AB383" s="61">
        <f>SUM(X383:AA383)</f>
        <v>0</v>
      </c>
      <c r="AC383" s="63">
        <v>1</v>
      </c>
      <c r="AD383" s="63">
        <v>2</v>
      </c>
      <c r="AE383" s="63"/>
      <c r="AF383" s="63"/>
      <c r="AG383" s="61">
        <f>SUM(AC383:AF383)</f>
        <v>3</v>
      </c>
      <c r="AH383" s="63"/>
      <c r="AI383" s="63"/>
      <c r="AJ383" s="63"/>
      <c r="AK383" s="63"/>
      <c r="AL383" s="61">
        <f>SUM(AH383:AK383)</f>
        <v>0</v>
      </c>
      <c r="AM383" s="68">
        <f t="shared" si="89"/>
        <v>17</v>
      </c>
    </row>
    <row r="384" spans="1:39" x14ac:dyDescent="0.35">
      <c r="A384" s="66" t="s">
        <v>362</v>
      </c>
      <c r="B384" s="67" t="s">
        <v>303</v>
      </c>
      <c r="C384" s="66"/>
      <c r="D384" s="66">
        <f t="shared" ref="D384:AL384" si="94">SUM(D380:D383)</f>
        <v>28</v>
      </c>
      <c r="E384" s="66">
        <f t="shared" si="94"/>
        <v>3</v>
      </c>
      <c r="F384" s="66">
        <f t="shared" si="94"/>
        <v>0</v>
      </c>
      <c r="G384" s="66">
        <f t="shared" si="94"/>
        <v>0</v>
      </c>
      <c r="H384" s="61">
        <f t="shared" si="94"/>
        <v>31</v>
      </c>
      <c r="I384" s="66">
        <f t="shared" si="94"/>
        <v>0</v>
      </c>
      <c r="J384" s="66">
        <f t="shared" si="94"/>
        <v>1</v>
      </c>
      <c r="K384" s="66">
        <f t="shared" si="94"/>
        <v>0</v>
      </c>
      <c r="L384" s="66">
        <f t="shared" si="94"/>
        <v>0</v>
      </c>
      <c r="M384" s="61">
        <f t="shared" si="94"/>
        <v>1</v>
      </c>
      <c r="N384" s="66">
        <f t="shared" si="94"/>
        <v>15</v>
      </c>
      <c r="O384" s="66">
        <f t="shared" si="94"/>
        <v>3</v>
      </c>
      <c r="P384" s="66">
        <f t="shared" si="94"/>
        <v>0</v>
      </c>
      <c r="Q384" s="66">
        <f t="shared" si="94"/>
        <v>0</v>
      </c>
      <c r="R384" s="61">
        <f t="shared" si="94"/>
        <v>18</v>
      </c>
      <c r="S384" s="66">
        <f t="shared" si="94"/>
        <v>0</v>
      </c>
      <c r="T384" s="66">
        <f t="shared" si="94"/>
        <v>0</v>
      </c>
      <c r="U384" s="66">
        <f t="shared" si="94"/>
        <v>0</v>
      </c>
      <c r="V384" s="66">
        <f t="shared" si="94"/>
        <v>0</v>
      </c>
      <c r="W384" s="61">
        <f t="shared" si="94"/>
        <v>0</v>
      </c>
      <c r="X384" s="66">
        <f t="shared" si="94"/>
        <v>0</v>
      </c>
      <c r="Y384" s="66">
        <f t="shared" si="94"/>
        <v>0</v>
      </c>
      <c r="Z384" s="66">
        <f t="shared" si="94"/>
        <v>0</v>
      </c>
      <c r="AA384" s="66">
        <f t="shared" si="94"/>
        <v>0</v>
      </c>
      <c r="AB384" s="61">
        <f t="shared" si="94"/>
        <v>0</v>
      </c>
      <c r="AC384" s="66">
        <f t="shared" si="94"/>
        <v>7</v>
      </c>
      <c r="AD384" s="66">
        <f t="shared" si="94"/>
        <v>2</v>
      </c>
      <c r="AE384" s="66">
        <f t="shared" si="94"/>
        <v>0</v>
      </c>
      <c r="AF384" s="66">
        <f t="shared" si="94"/>
        <v>0</v>
      </c>
      <c r="AG384" s="61">
        <f t="shared" si="94"/>
        <v>9</v>
      </c>
      <c r="AH384" s="66">
        <f t="shared" si="94"/>
        <v>5</v>
      </c>
      <c r="AI384" s="66">
        <f t="shared" si="94"/>
        <v>0</v>
      </c>
      <c r="AJ384" s="66">
        <f t="shared" si="94"/>
        <v>0</v>
      </c>
      <c r="AK384" s="66">
        <f t="shared" si="94"/>
        <v>0</v>
      </c>
      <c r="AL384" s="61">
        <f t="shared" si="94"/>
        <v>5</v>
      </c>
      <c r="AM384" s="68">
        <f t="shared" si="89"/>
        <v>64</v>
      </c>
    </row>
    <row r="385" spans="1:39" hidden="1" x14ac:dyDescent="0.35">
      <c r="A385" s="59" t="s">
        <v>364</v>
      </c>
      <c r="B385" s="54" t="s">
        <v>365</v>
      </c>
      <c r="C385" s="60" t="s">
        <v>225</v>
      </c>
      <c r="D385" s="60">
        <v>5</v>
      </c>
      <c r="E385" s="60"/>
      <c r="F385" s="60"/>
      <c r="G385" s="60"/>
      <c r="H385" s="61">
        <f>SUM(D385:G385)</f>
        <v>5</v>
      </c>
      <c r="I385" s="60"/>
      <c r="J385" s="60"/>
      <c r="K385" s="60"/>
      <c r="L385" s="60"/>
      <c r="M385" s="61">
        <f>SUM(I385:L385)</f>
        <v>0</v>
      </c>
      <c r="N385" s="60"/>
      <c r="O385" s="60"/>
      <c r="P385" s="60"/>
      <c r="Q385" s="60"/>
      <c r="R385" s="61">
        <f>SUM(N385:Q385)</f>
        <v>0</v>
      </c>
      <c r="S385" s="60"/>
      <c r="T385" s="60"/>
      <c r="U385" s="60"/>
      <c r="V385" s="60"/>
      <c r="W385" s="61">
        <f>SUM(S385:V385)</f>
        <v>0</v>
      </c>
      <c r="X385" s="60"/>
      <c r="Y385" s="60"/>
      <c r="Z385" s="60"/>
      <c r="AA385" s="60"/>
      <c r="AB385" s="61">
        <f>SUM(X385:AA385)</f>
        <v>0</v>
      </c>
      <c r="AC385" s="60"/>
      <c r="AD385" s="60"/>
      <c r="AE385" s="60"/>
      <c r="AF385" s="60"/>
      <c r="AG385" s="61">
        <f>SUM(AC385:AF385)</f>
        <v>0</v>
      </c>
      <c r="AH385" s="60"/>
      <c r="AI385" s="60"/>
      <c r="AJ385" s="60"/>
      <c r="AK385" s="60"/>
      <c r="AL385" s="61">
        <f>SUM(AH385:AK385)</f>
        <v>0</v>
      </c>
      <c r="AM385" s="68">
        <f t="shared" si="89"/>
        <v>5</v>
      </c>
    </row>
    <row r="386" spans="1:39" hidden="1" x14ac:dyDescent="0.35">
      <c r="A386" s="111" t="s">
        <v>267</v>
      </c>
      <c r="B386" s="54"/>
      <c r="C386" s="63" t="s">
        <v>227</v>
      </c>
      <c r="D386" s="63">
        <v>2</v>
      </c>
      <c r="E386" s="63"/>
      <c r="F386" s="63"/>
      <c r="G386" s="63"/>
      <c r="H386" s="61">
        <f>SUM(D386:G386)</f>
        <v>2</v>
      </c>
      <c r="I386" s="63">
        <v>1</v>
      </c>
      <c r="J386" s="63"/>
      <c r="K386" s="63"/>
      <c r="L386" s="63"/>
      <c r="M386" s="61">
        <f>SUM(I386:L386)</f>
        <v>1</v>
      </c>
      <c r="N386" s="63"/>
      <c r="O386" s="63"/>
      <c r="P386" s="63"/>
      <c r="Q386" s="63"/>
      <c r="R386" s="61">
        <f>SUM(N386:Q386)</f>
        <v>0</v>
      </c>
      <c r="S386" s="63"/>
      <c r="T386" s="63"/>
      <c r="U386" s="63"/>
      <c r="V386" s="63"/>
      <c r="W386" s="61">
        <f>SUM(S386:V386)</f>
        <v>0</v>
      </c>
      <c r="X386" s="63"/>
      <c r="Y386" s="63"/>
      <c r="Z386" s="63"/>
      <c r="AA386" s="63"/>
      <c r="AB386" s="61">
        <f>SUM(X386:AA386)</f>
        <v>0</v>
      </c>
      <c r="AC386" s="63"/>
      <c r="AD386" s="63"/>
      <c r="AE386" s="63"/>
      <c r="AF386" s="63"/>
      <c r="AG386" s="61">
        <f>SUM(AC386:AF386)</f>
        <v>0</v>
      </c>
      <c r="AH386" s="63"/>
      <c r="AI386" s="63"/>
      <c r="AJ386" s="63"/>
      <c r="AK386" s="63"/>
      <c r="AL386" s="61">
        <f>SUM(AH386:AK386)</f>
        <v>0</v>
      </c>
      <c r="AM386" s="68">
        <f t="shared" si="89"/>
        <v>3</v>
      </c>
    </row>
    <row r="387" spans="1:39" hidden="1" x14ac:dyDescent="0.35">
      <c r="A387" s="111"/>
      <c r="B387" s="54"/>
      <c r="C387" s="60" t="s">
        <v>228</v>
      </c>
      <c r="D387" s="60">
        <v>4</v>
      </c>
      <c r="E387" s="60"/>
      <c r="F387" s="60"/>
      <c r="G387" s="60"/>
      <c r="H387" s="61">
        <f>SUM(D387:G387)</f>
        <v>4</v>
      </c>
      <c r="I387" s="60">
        <v>1</v>
      </c>
      <c r="J387" s="60"/>
      <c r="K387" s="60"/>
      <c r="L387" s="60"/>
      <c r="M387" s="61">
        <f>SUM(I387:L387)</f>
        <v>1</v>
      </c>
      <c r="N387" s="60">
        <v>1</v>
      </c>
      <c r="O387" s="60"/>
      <c r="P387" s="60"/>
      <c r="Q387" s="60"/>
      <c r="R387" s="61">
        <f>SUM(N387:Q387)</f>
        <v>1</v>
      </c>
      <c r="S387" s="60"/>
      <c r="T387" s="60"/>
      <c r="U387" s="60"/>
      <c r="V387" s="60"/>
      <c r="W387" s="61">
        <f>SUM(S387:V387)</f>
        <v>0</v>
      </c>
      <c r="X387" s="60"/>
      <c r="Y387" s="60"/>
      <c r="Z387" s="60"/>
      <c r="AA387" s="60"/>
      <c r="AB387" s="61">
        <f>SUM(X387:AA387)</f>
        <v>0</v>
      </c>
      <c r="AC387" s="60"/>
      <c r="AD387" s="60"/>
      <c r="AE387" s="60"/>
      <c r="AF387" s="60"/>
      <c r="AG387" s="61">
        <f>SUM(AC387:AF387)</f>
        <v>0</v>
      </c>
      <c r="AH387" s="60"/>
      <c r="AI387" s="60"/>
      <c r="AJ387" s="60"/>
      <c r="AK387" s="60"/>
      <c r="AL387" s="61">
        <f>SUM(AH387:AK387)</f>
        <v>0</v>
      </c>
      <c r="AM387" s="68">
        <f t="shared" si="89"/>
        <v>6</v>
      </c>
    </row>
    <row r="388" spans="1:39" hidden="1" x14ac:dyDescent="0.35">
      <c r="A388" s="111"/>
      <c r="B388" s="54"/>
      <c r="C388" s="63" t="s">
        <v>235</v>
      </c>
      <c r="D388" s="63">
        <v>9</v>
      </c>
      <c r="E388" s="63"/>
      <c r="F388" s="63"/>
      <c r="G388" s="63"/>
      <c r="H388" s="61">
        <f>SUM(D388:G388)</f>
        <v>9</v>
      </c>
      <c r="I388" s="63"/>
      <c r="J388" s="63"/>
      <c r="K388" s="63"/>
      <c r="L388" s="63"/>
      <c r="M388" s="61">
        <f>SUM(I388:L388)</f>
        <v>0</v>
      </c>
      <c r="N388" s="63"/>
      <c r="O388" s="63"/>
      <c r="P388" s="63"/>
      <c r="Q388" s="63"/>
      <c r="R388" s="61">
        <f>SUM(N388:Q388)</f>
        <v>0</v>
      </c>
      <c r="S388" s="63"/>
      <c r="T388" s="63"/>
      <c r="U388" s="63"/>
      <c r="V388" s="63"/>
      <c r="W388" s="61">
        <f>SUM(S388:V388)</f>
        <v>0</v>
      </c>
      <c r="X388" s="63"/>
      <c r="Y388" s="63"/>
      <c r="Z388" s="63"/>
      <c r="AA388" s="63"/>
      <c r="AB388" s="61">
        <f>SUM(X388:AA388)</f>
        <v>0</v>
      </c>
      <c r="AC388" s="63"/>
      <c r="AD388" s="63"/>
      <c r="AE388" s="63"/>
      <c r="AF388" s="63"/>
      <c r="AG388" s="61">
        <f>SUM(AC388:AF388)</f>
        <v>0</v>
      </c>
      <c r="AH388" s="63"/>
      <c r="AI388" s="63"/>
      <c r="AJ388" s="63"/>
      <c r="AK388" s="63"/>
      <c r="AL388" s="61">
        <f>SUM(AH388:AK388)</f>
        <v>0</v>
      </c>
      <c r="AM388" s="68">
        <f t="shared" si="89"/>
        <v>9</v>
      </c>
    </row>
    <row r="389" spans="1:39" hidden="1" x14ac:dyDescent="0.35">
      <c r="A389" s="66" t="s">
        <v>397</v>
      </c>
      <c r="B389" s="67"/>
      <c r="C389" s="66"/>
      <c r="D389" s="66">
        <f t="shared" ref="D389:AL389" si="95">SUM(D385:D388)</f>
        <v>20</v>
      </c>
      <c r="E389" s="66">
        <f t="shared" si="95"/>
        <v>0</v>
      </c>
      <c r="F389" s="66">
        <f t="shared" si="95"/>
        <v>0</v>
      </c>
      <c r="G389" s="66">
        <f t="shared" si="95"/>
        <v>0</v>
      </c>
      <c r="H389" s="61">
        <f t="shared" si="95"/>
        <v>20</v>
      </c>
      <c r="I389" s="66">
        <f t="shared" si="95"/>
        <v>2</v>
      </c>
      <c r="J389" s="66">
        <f t="shared" si="95"/>
        <v>0</v>
      </c>
      <c r="K389" s="66">
        <f t="shared" si="95"/>
        <v>0</v>
      </c>
      <c r="L389" s="66">
        <f t="shared" si="95"/>
        <v>0</v>
      </c>
      <c r="M389" s="61">
        <f t="shared" si="95"/>
        <v>2</v>
      </c>
      <c r="N389" s="66">
        <f t="shared" si="95"/>
        <v>1</v>
      </c>
      <c r="O389" s="66">
        <f t="shared" si="95"/>
        <v>0</v>
      </c>
      <c r="P389" s="66">
        <f t="shared" si="95"/>
        <v>0</v>
      </c>
      <c r="Q389" s="66">
        <f t="shared" si="95"/>
        <v>0</v>
      </c>
      <c r="R389" s="61">
        <f t="shared" si="95"/>
        <v>1</v>
      </c>
      <c r="S389" s="66">
        <f t="shared" si="95"/>
        <v>0</v>
      </c>
      <c r="T389" s="66">
        <f t="shared" si="95"/>
        <v>0</v>
      </c>
      <c r="U389" s="66">
        <f t="shared" si="95"/>
        <v>0</v>
      </c>
      <c r="V389" s="66">
        <f t="shared" si="95"/>
        <v>0</v>
      </c>
      <c r="W389" s="61">
        <f t="shared" si="95"/>
        <v>0</v>
      </c>
      <c r="X389" s="66">
        <f t="shared" si="95"/>
        <v>0</v>
      </c>
      <c r="Y389" s="66">
        <f t="shared" si="95"/>
        <v>0</v>
      </c>
      <c r="Z389" s="66">
        <f t="shared" si="95"/>
        <v>0</v>
      </c>
      <c r="AA389" s="66">
        <f t="shared" si="95"/>
        <v>0</v>
      </c>
      <c r="AB389" s="61">
        <f t="shared" si="95"/>
        <v>0</v>
      </c>
      <c r="AC389" s="66">
        <f t="shared" si="95"/>
        <v>0</v>
      </c>
      <c r="AD389" s="66">
        <f t="shared" si="95"/>
        <v>0</v>
      </c>
      <c r="AE389" s="66">
        <f t="shared" si="95"/>
        <v>0</v>
      </c>
      <c r="AF389" s="66">
        <f t="shared" si="95"/>
        <v>0</v>
      </c>
      <c r="AG389" s="61">
        <f t="shared" si="95"/>
        <v>0</v>
      </c>
      <c r="AH389" s="66">
        <f t="shared" si="95"/>
        <v>0</v>
      </c>
      <c r="AI389" s="66">
        <f t="shared" si="95"/>
        <v>0</v>
      </c>
      <c r="AJ389" s="66">
        <f t="shared" si="95"/>
        <v>0</v>
      </c>
      <c r="AK389" s="66">
        <f t="shared" si="95"/>
        <v>0</v>
      </c>
      <c r="AL389" s="61">
        <f t="shared" si="95"/>
        <v>0</v>
      </c>
      <c r="AM389" s="68">
        <f t="shared" si="89"/>
        <v>23</v>
      </c>
    </row>
    <row r="390" spans="1:39" hidden="1" x14ac:dyDescent="0.35">
      <c r="A390" s="111" t="s">
        <v>366</v>
      </c>
      <c r="B390" s="54"/>
      <c r="C390" s="60" t="s">
        <v>225</v>
      </c>
      <c r="D390" s="60"/>
      <c r="E390" s="60"/>
      <c r="F390" s="60"/>
      <c r="G390" s="60"/>
      <c r="H390" s="61">
        <f>SUM(D390:G390)</f>
        <v>0</v>
      </c>
      <c r="I390" s="60"/>
      <c r="J390" s="60"/>
      <c r="K390" s="60"/>
      <c r="L390" s="60"/>
      <c r="M390" s="61">
        <f>SUM(I390:L390)</f>
        <v>0</v>
      </c>
      <c r="N390" s="60"/>
      <c r="O390" s="60"/>
      <c r="P390" s="60"/>
      <c r="Q390" s="60"/>
      <c r="R390" s="61">
        <f>SUM(N390:Q390)</f>
        <v>0</v>
      </c>
      <c r="S390" s="60"/>
      <c r="T390" s="60"/>
      <c r="U390" s="60"/>
      <c r="V390" s="60"/>
      <c r="W390" s="61">
        <f>SUM(S390:V390)</f>
        <v>0</v>
      </c>
      <c r="X390" s="60"/>
      <c r="Y390" s="60"/>
      <c r="Z390" s="60"/>
      <c r="AA390" s="60"/>
      <c r="AB390" s="61">
        <f>SUM(X390:AA390)</f>
        <v>0</v>
      </c>
      <c r="AC390" s="60"/>
      <c r="AD390" s="60"/>
      <c r="AE390" s="60"/>
      <c r="AF390" s="60"/>
      <c r="AG390" s="61">
        <f>SUM(AC390:AF390)</f>
        <v>0</v>
      </c>
      <c r="AH390" s="60">
        <v>3</v>
      </c>
      <c r="AI390" s="60">
        <v>3</v>
      </c>
      <c r="AJ390" s="60"/>
      <c r="AK390" s="60"/>
      <c r="AL390" s="61">
        <f>SUM(AH390:AK390)</f>
        <v>6</v>
      </c>
      <c r="AM390" s="68">
        <f t="shared" si="89"/>
        <v>6</v>
      </c>
    </row>
    <row r="391" spans="1:39" hidden="1" x14ac:dyDescent="0.35">
      <c r="A391" s="111"/>
      <c r="B391" s="54"/>
      <c r="C391" s="63" t="s">
        <v>227</v>
      </c>
      <c r="D391" s="63"/>
      <c r="E391" s="63"/>
      <c r="F391" s="63"/>
      <c r="G391" s="63"/>
      <c r="H391" s="61">
        <f>SUM(D391:G391)</f>
        <v>0</v>
      </c>
      <c r="I391" s="63"/>
      <c r="J391" s="63"/>
      <c r="K391" s="63"/>
      <c r="L391" s="63"/>
      <c r="M391" s="61">
        <f>SUM(I391:L391)</f>
        <v>0</v>
      </c>
      <c r="N391" s="63"/>
      <c r="O391" s="63"/>
      <c r="P391" s="63"/>
      <c r="Q391" s="63"/>
      <c r="R391" s="61">
        <f>SUM(N391:Q391)</f>
        <v>0</v>
      </c>
      <c r="S391" s="63"/>
      <c r="T391" s="63"/>
      <c r="U391" s="63"/>
      <c r="V391" s="63"/>
      <c r="W391" s="61">
        <f>SUM(S391:V391)</f>
        <v>0</v>
      </c>
      <c r="X391" s="63"/>
      <c r="Y391" s="63"/>
      <c r="Z391" s="63"/>
      <c r="AA391" s="63"/>
      <c r="AB391" s="61">
        <f>SUM(X391:AA391)</f>
        <v>0</v>
      </c>
      <c r="AC391" s="63"/>
      <c r="AD391" s="63"/>
      <c r="AE391" s="63"/>
      <c r="AF391" s="63"/>
      <c r="AG391" s="61">
        <f>SUM(AC391:AF391)</f>
        <v>0</v>
      </c>
      <c r="AH391" s="63">
        <v>1</v>
      </c>
      <c r="AI391" s="63"/>
      <c r="AJ391" s="63"/>
      <c r="AK391" s="63"/>
      <c r="AL391" s="61">
        <f>SUM(AH391:AK391)</f>
        <v>1</v>
      </c>
      <c r="AM391" s="68">
        <f t="shared" si="89"/>
        <v>1</v>
      </c>
    </row>
    <row r="392" spans="1:39" hidden="1" x14ac:dyDescent="0.35">
      <c r="A392" s="111"/>
      <c r="B392" s="54"/>
      <c r="C392" s="60" t="s">
        <v>228</v>
      </c>
      <c r="D392" s="60"/>
      <c r="E392" s="60"/>
      <c r="F392" s="60"/>
      <c r="G392" s="60"/>
      <c r="H392" s="61">
        <f>SUM(D392:G392)</f>
        <v>0</v>
      </c>
      <c r="I392" s="60"/>
      <c r="J392" s="60"/>
      <c r="K392" s="60"/>
      <c r="L392" s="60"/>
      <c r="M392" s="61">
        <f>SUM(I392:L392)</f>
        <v>0</v>
      </c>
      <c r="N392" s="60"/>
      <c r="O392" s="60"/>
      <c r="P392" s="60"/>
      <c r="Q392" s="60"/>
      <c r="R392" s="61">
        <f>SUM(N392:Q392)</f>
        <v>0</v>
      </c>
      <c r="S392" s="60"/>
      <c r="T392" s="60"/>
      <c r="U392" s="60"/>
      <c r="V392" s="60"/>
      <c r="W392" s="61">
        <f>SUM(S392:V392)</f>
        <v>0</v>
      </c>
      <c r="X392" s="60"/>
      <c r="Y392" s="60"/>
      <c r="Z392" s="60"/>
      <c r="AA392" s="60"/>
      <c r="AB392" s="61">
        <f>SUM(X392:AA392)</f>
        <v>0</v>
      </c>
      <c r="AC392" s="60"/>
      <c r="AD392" s="60"/>
      <c r="AE392" s="60"/>
      <c r="AF392" s="60"/>
      <c r="AG392" s="61">
        <f>SUM(AC392:AF392)</f>
        <v>0</v>
      </c>
      <c r="AH392" s="60">
        <v>4</v>
      </c>
      <c r="AI392" s="60"/>
      <c r="AJ392" s="60"/>
      <c r="AK392" s="60"/>
      <c r="AL392" s="61">
        <f>SUM(AH392:AK392)</f>
        <v>4</v>
      </c>
      <c r="AM392" s="68">
        <f t="shared" ref="AM392:AM423" si="96">SUM(H392,M392,R392,W392,AB392,AG392,AL392)</f>
        <v>4</v>
      </c>
    </row>
    <row r="393" spans="1:39" hidden="1" x14ac:dyDescent="0.35">
      <c r="A393" s="111"/>
      <c r="B393" s="54"/>
      <c r="C393" s="63" t="s">
        <v>235</v>
      </c>
      <c r="D393" s="63"/>
      <c r="E393" s="63"/>
      <c r="F393" s="63"/>
      <c r="G393" s="63"/>
      <c r="H393" s="61">
        <f>SUM(D393:G393)</f>
        <v>0</v>
      </c>
      <c r="I393" s="63"/>
      <c r="J393" s="63"/>
      <c r="K393" s="63"/>
      <c r="L393" s="63"/>
      <c r="M393" s="61">
        <f>SUM(I393:L393)</f>
        <v>0</v>
      </c>
      <c r="N393" s="63"/>
      <c r="O393" s="63"/>
      <c r="P393" s="63"/>
      <c r="Q393" s="63"/>
      <c r="R393" s="61">
        <f>SUM(N393:Q393)</f>
        <v>0</v>
      </c>
      <c r="S393" s="63"/>
      <c r="T393" s="63"/>
      <c r="U393" s="63"/>
      <c r="V393" s="63"/>
      <c r="W393" s="61">
        <f>SUM(S393:V393)</f>
        <v>0</v>
      </c>
      <c r="X393" s="63"/>
      <c r="Y393" s="63"/>
      <c r="Z393" s="63"/>
      <c r="AA393" s="63"/>
      <c r="AB393" s="61">
        <f>SUM(X393:AA393)</f>
        <v>0</v>
      </c>
      <c r="AC393" s="63">
        <v>1</v>
      </c>
      <c r="AD393" s="63"/>
      <c r="AE393" s="63"/>
      <c r="AF393" s="63"/>
      <c r="AG393" s="61">
        <f>SUM(AC393:AF393)</f>
        <v>1</v>
      </c>
      <c r="AH393" s="63">
        <v>1</v>
      </c>
      <c r="AI393" s="63"/>
      <c r="AJ393" s="63"/>
      <c r="AK393" s="63"/>
      <c r="AL393" s="61">
        <f>SUM(AH393:AK393)</f>
        <v>1</v>
      </c>
      <c r="AM393" s="68">
        <f t="shared" si="96"/>
        <v>2</v>
      </c>
    </row>
    <row r="394" spans="1:39" hidden="1" x14ac:dyDescent="0.35">
      <c r="A394" s="76" t="s">
        <v>366</v>
      </c>
      <c r="B394" s="67"/>
      <c r="C394" s="66"/>
      <c r="D394" s="66">
        <f t="shared" ref="D394:AL394" si="97">SUM(D390:D393)</f>
        <v>0</v>
      </c>
      <c r="E394" s="66">
        <f t="shared" si="97"/>
        <v>0</v>
      </c>
      <c r="F394" s="66">
        <f t="shared" si="97"/>
        <v>0</v>
      </c>
      <c r="G394" s="66">
        <f t="shared" si="97"/>
        <v>0</v>
      </c>
      <c r="H394" s="61">
        <f t="shared" si="97"/>
        <v>0</v>
      </c>
      <c r="I394" s="66">
        <f t="shared" si="97"/>
        <v>0</v>
      </c>
      <c r="J394" s="66">
        <f t="shared" si="97"/>
        <v>0</v>
      </c>
      <c r="K394" s="66">
        <f t="shared" si="97"/>
        <v>0</v>
      </c>
      <c r="L394" s="66">
        <f t="shared" si="97"/>
        <v>0</v>
      </c>
      <c r="M394" s="61">
        <f t="shared" si="97"/>
        <v>0</v>
      </c>
      <c r="N394" s="66">
        <f t="shared" si="97"/>
        <v>0</v>
      </c>
      <c r="O394" s="66">
        <f t="shared" si="97"/>
        <v>0</v>
      </c>
      <c r="P394" s="66">
        <f t="shared" si="97"/>
        <v>0</v>
      </c>
      <c r="Q394" s="66">
        <f t="shared" si="97"/>
        <v>0</v>
      </c>
      <c r="R394" s="61">
        <f t="shared" si="97"/>
        <v>0</v>
      </c>
      <c r="S394" s="66">
        <f t="shared" si="97"/>
        <v>0</v>
      </c>
      <c r="T394" s="66">
        <f t="shared" si="97"/>
        <v>0</v>
      </c>
      <c r="U394" s="66">
        <f t="shared" si="97"/>
        <v>0</v>
      </c>
      <c r="V394" s="66">
        <f t="shared" si="97"/>
        <v>0</v>
      </c>
      <c r="W394" s="61">
        <f t="shared" si="97"/>
        <v>0</v>
      </c>
      <c r="X394" s="66">
        <f t="shared" si="97"/>
        <v>0</v>
      </c>
      <c r="Y394" s="66">
        <f t="shared" si="97"/>
        <v>0</v>
      </c>
      <c r="Z394" s="66">
        <f t="shared" si="97"/>
        <v>0</v>
      </c>
      <c r="AA394" s="66">
        <f t="shared" si="97"/>
        <v>0</v>
      </c>
      <c r="AB394" s="61">
        <f t="shared" si="97"/>
        <v>0</v>
      </c>
      <c r="AC394" s="66">
        <f t="shared" si="97"/>
        <v>1</v>
      </c>
      <c r="AD394" s="66">
        <f t="shared" si="97"/>
        <v>0</v>
      </c>
      <c r="AE394" s="66">
        <f t="shared" si="97"/>
        <v>0</v>
      </c>
      <c r="AF394" s="66">
        <f t="shared" si="97"/>
        <v>0</v>
      </c>
      <c r="AG394" s="61">
        <f t="shared" si="97"/>
        <v>1</v>
      </c>
      <c r="AH394" s="66">
        <f t="shared" si="97"/>
        <v>9</v>
      </c>
      <c r="AI394" s="66">
        <f t="shared" si="97"/>
        <v>3</v>
      </c>
      <c r="AJ394" s="66">
        <f t="shared" si="97"/>
        <v>0</v>
      </c>
      <c r="AK394" s="66">
        <f t="shared" si="97"/>
        <v>0</v>
      </c>
      <c r="AL394" s="61">
        <f t="shared" si="97"/>
        <v>12</v>
      </c>
      <c r="AM394" s="68">
        <f t="shared" si="96"/>
        <v>13</v>
      </c>
    </row>
    <row r="395" spans="1:39" x14ac:dyDescent="0.35">
      <c r="A395" s="66" t="s">
        <v>364</v>
      </c>
      <c r="B395" s="67" t="s">
        <v>365</v>
      </c>
      <c r="C395" s="66"/>
      <c r="D395" s="66">
        <f t="shared" ref="D395:AL395" si="98">SUM(D394,D389)</f>
        <v>20</v>
      </c>
      <c r="E395" s="66">
        <f t="shared" si="98"/>
        <v>0</v>
      </c>
      <c r="F395" s="66">
        <f t="shared" si="98"/>
        <v>0</v>
      </c>
      <c r="G395" s="66">
        <f t="shared" si="98"/>
        <v>0</v>
      </c>
      <c r="H395" s="61">
        <f t="shared" si="98"/>
        <v>20</v>
      </c>
      <c r="I395" s="66">
        <f t="shared" si="98"/>
        <v>2</v>
      </c>
      <c r="J395" s="66">
        <f t="shared" si="98"/>
        <v>0</v>
      </c>
      <c r="K395" s="66">
        <f t="shared" si="98"/>
        <v>0</v>
      </c>
      <c r="L395" s="66">
        <f t="shared" si="98"/>
        <v>0</v>
      </c>
      <c r="M395" s="61">
        <f t="shared" si="98"/>
        <v>2</v>
      </c>
      <c r="N395" s="66">
        <f t="shared" si="98"/>
        <v>1</v>
      </c>
      <c r="O395" s="66">
        <f t="shared" si="98"/>
        <v>0</v>
      </c>
      <c r="P395" s="66">
        <f t="shared" si="98"/>
        <v>0</v>
      </c>
      <c r="Q395" s="66">
        <f t="shared" si="98"/>
        <v>0</v>
      </c>
      <c r="R395" s="61">
        <f t="shared" si="98"/>
        <v>1</v>
      </c>
      <c r="S395" s="66">
        <f t="shared" si="98"/>
        <v>0</v>
      </c>
      <c r="T395" s="66">
        <f t="shared" si="98"/>
        <v>0</v>
      </c>
      <c r="U395" s="66">
        <f t="shared" si="98"/>
        <v>0</v>
      </c>
      <c r="V395" s="66">
        <f t="shared" si="98"/>
        <v>0</v>
      </c>
      <c r="W395" s="61">
        <f t="shared" si="98"/>
        <v>0</v>
      </c>
      <c r="X395" s="66">
        <f t="shared" si="98"/>
        <v>0</v>
      </c>
      <c r="Y395" s="66">
        <f t="shared" si="98"/>
        <v>0</v>
      </c>
      <c r="Z395" s="66">
        <f t="shared" si="98"/>
        <v>0</v>
      </c>
      <c r="AA395" s="66">
        <f t="shared" si="98"/>
        <v>0</v>
      </c>
      <c r="AB395" s="61">
        <f t="shared" si="98"/>
        <v>0</v>
      </c>
      <c r="AC395" s="66">
        <f t="shared" si="98"/>
        <v>1</v>
      </c>
      <c r="AD395" s="66">
        <f t="shared" si="98"/>
        <v>0</v>
      </c>
      <c r="AE395" s="66">
        <f t="shared" si="98"/>
        <v>0</v>
      </c>
      <c r="AF395" s="66">
        <f t="shared" si="98"/>
        <v>0</v>
      </c>
      <c r="AG395" s="61">
        <f t="shared" si="98"/>
        <v>1</v>
      </c>
      <c r="AH395" s="66">
        <f t="shared" si="98"/>
        <v>9</v>
      </c>
      <c r="AI395" s="66">
        <f t="shared" si="98"/>
        <v>3</v>
      </c>
      <c r="AJ395" s="66">
        <f t="shared" si="98"/>
        <v>0</v>
      </c>
      <c r="AK395" s="66">
        <f t="shared" si="98"/>
        <v>0</v>
      </c>
      <c r="AL395" s="61">
        <f t="shared" si="98"/>
        <v>12</v>
      </c>
      <c r="AM395" s="68">
        <f t="shared" si="96"/>
        <v>36</v>
      </c>
    </row>
    <row r="396" spans="1:39" hidden="1" x14ac:dyDescent="0.35">
      <c r="A396" s="59" t="s">
        <v>367</v>
      </c>
      <c r="B396" s="54" t="s">
        <v>368</v>
      </c>
      <c r="C396" s="60" t="s">
        <v>225</v>
      </c>
      <c r="D396" s="60"/>
      <c r="E396" s="60"/>
      <c r="F396" s="60"/>
      <c r="G396" s="60"/>
      <c r="H396" s="61">
        <f>SUM(D396:G396)</f>
        <v>0</v>
      </c>
      <c r="I396" s="60"/>
      <c r="J396" s="60"/>
      <c r="K396" s="60"/>
      <c r="L396" s="60"/>
      <c r="M396" s="61">
        <f>SUM(I396:L396)</f>
        <v>0</v>
      </c>
      <c r="N396" s="60"/>
      <c r="O396" s="60"/>
      <c r="P396" s="60"/>
      <c r="Q396" s="60"/>
      <c r="R396" s="61">
        <f>SUM(N396:Q396)</f>
        <v>0</v>
      </c>
      <c r="S396" s="60"/>
      <c r="T396" s="60"/>
      <c r="U396" s="60"/>
      <c r="V396" s="60"/>
      <c r="W396" s="61">
        <f>SUM(S396:V396)</f>
        <v>0</v>
      </c>
      <c r="X396" s="60"/>
      <c r="Y396" s="60"/>
      <c r="Z396" s="60"/>
      <c r="AA396" s="60"/>
      <c r="AB396" s="61">
        <f>SUM(X396:AA396)</f>
        <v>0</v>
      </c>
      <c r="AC396" s="60"/>
      <c r="AD396" s="60"/>
      <c r="AE396" s="60"/>
      <c r="AF396" s="60"/>
      <c r="AG396" s="61">
        <f>SUM(AC396:AF396)</f>
        <v>0</v>
      </c>
      <c r="AH396" s="60">
        <v>1</v>
      </c>
      <c r="AI396" s="60"/>
      <c r="AJ396" s="60"/>
      <c r="AK396" s="60"/>
      <c r="AL396" s="61">
        <f>SUM(AH396:AK396)</f>
        <v>1</v>
      </c>
      <c r="AM396" s="68">
        <f t="shared" si="96"/>
        <v>1</v>
      </c>
    </row>
    <row r="397" spans="1:39" hidden="1" x14ac:dyDescent="0.35">
      <c r="A397" s="111" t="s">
        <v>291</v>
      </c>
      <c r="B397" s="54"/>
      <c r="C397" s="63" t="s">
        <v>227</v>
      </c>
      <c r="D397" s="63"/>
      <c r="E397" s="63"/>
      <c r="F397" s="63"/>
      <c r="G397" s="63"/>
      <c r="H397" s="61">
        <f>SUM(D397:G397)</f>
        <v>0</v>
      </c>
      <c r="I397" s="63"/>
      <c r="J397" s="63"/>
      <c r="K397" s="63"/>
      <c r="L397" s="63"/>
      <c r="M397" s="61">
        <f>SUM(I397:L397)</f>
        <v>0</v>
      </c>
      <c r="N397" s="63">
        <v>3</v>
      </c>
      <c r="O397" s="63"/>
      <c r="P397" s="63"/>
      <c r="Q397" s="63"/>
      <c r="R397" s="61">
        <f>SUM(N397:Q397)</f>
        <v>3</v>
      </c>
      <c r="S397" s="63"/>
      <c r="T397" s="63"/>
      <c r="U397" s="63"/>
      <c r="V397" s="63"/>
      <c r="W397" s="61">
        <f>SUM(S397:V397)</f>
        <v>0</v>
      </c>
      <c r="X397" s="63"/>
      <c r="Y397" s="63"/>
      <c r="Z397" s="63"/>
      <c r="AA397" s="63"/>
      <c r="AB397" s="61">
        <f>SUM(X397:AA397)</f>
        <v>0</v>
      </c>
      <c r="AC397" s="63"/>
      <c r="AD397" s="63"/>
      <c r="AE397" s="63"/>
      <c r="AF397" s="63"/>
      <c r="AG397" s="61">
        <f>SUM(AC397:AF397)</f>
        <v>0</v>
      </c>
      <c r="AH397" s="63"/>
      <c r="AI397" s="63"/>
      <c r="AJ397" s="63"/>
      <c r="AK397" s="63"/>
      <c r="AL397" s="61">
        <f>SUM(AH397:AK397)</f>
        <v>0</v>
      </c>
      <c r="AM397" s="68">
        <f t="shared" si="96"/>
        <v>3</v>
      </c>
    </row>
    <row r="398" spans="1:39" hidden="1" x14ac:dyDescent="0.35">
      <c r="A398" s="111"/>
      <c r="B398" s="54"/>
      <c r="C398" s="60" t="s">
        <v>228</v>
      </c>
      <c r="D398" s="60"/>
      <c r="E398" s="60"/>
      <c r="F398" s="60"/>
      <c r="G398" s="60"/>
      <c r="H398" s="61">
        <f>SUM(D398:G398)</f>
        <v>0</v>
      </c>
      <c r="I398" s="60"/>
      <c r="J398" s="60"/>
      <c r="K398" s="60"/>
      <c r="L398" s="60"/>
      <c r="M398" s="61">
        <f>SUM(I398:L398)</f>
        <v>0</v>
      </c>
      <c r="N398" s="60"/>
      <c r="O398" s="60"/>
      <c r="P398" s="60"/>
      <c r="Q398" s="60"/>
      <c r="R398" s="61">
        <f>SUM(N398:Q398)</f>
        <v>0</v>
      </c>
      <c r="S398" s="60"/>
      <c r="T398" s="60"/>
      <c r="U398" s="60"/>
      <c r="V398" s="60"/>
      <c r="W398" s="61">
        <f>SUM(S398:V398)</f>
        <v>0</v>
      </c>
      <c r="X398" s="60"/>
      <c r="Y398" s="60"/>
      <c r="Z398" s="60"/>
      <c r="AA398" s="60"/>
      <c r="AB398" s="61">
        <f>SUM(X398:AA398)</f>
        <v>0</v>
      </c>
      <c r="AC398" s="60"/>
      <c r="AD398" s="60"/>
      <c r="AE398" s="60"/>
      <c r="AF398" s="60"/>
      <c r="AG398" s="61">
        <f>SUM(AC398:AF398)</f>
        <v>0</v>
      </c>
      <c r="AH398" s="60">
        <v>3</v>
      </c>
      <c r="AI398" s="60"/>
      <c r="AJ398" s="60"/>
      <c r="AK398" s="60"/>
      <c r="AL398" s="61">
        <f>SUM(AH398:AK398)</f>
        <v>3</v>
      </c>
      <c r="AM398" s="68">
        <f t="shared" si="96"/>
        <v>3</v>
      </c>
    </row>
    <row r="399" spans="1:39" hidden="1" x14ac:dyDescent="0.35">
      <c r="A399" s="111"/>
      <c r="B399" s="54"/>
      <c r="C399" s="63" t="s">
        <v>235</v>
      </c>
      <c r="D399" s="63">
        <v>2</v>
      </c>
      <c r="E399" s="63"/>
      <c r="F399" s="63"/>
      <c r="G399" s="63"/>
      <c r="H399" s="61">
        <f>SUM(D399:G399)</f>
        <v>2</v>
      </c>
      <c r="I399" s="63"/>
      <c r="J399" s="63"/>
      <c r="K399" s="63"/>
      <c r="L399" s="63"/>
      <c r="M399" s="61">
        <f>SUM(I399:L399)</f>
        <v>0</v>
      </c>
      <c r="N399" s="63"/>
      <c r="O399" s="63"/>
      <c r="P399" s="63"/>
      <c r="Q399" s="63"/>
      <c r="R399" s="61">
        <f>SUM(N399:Q399)</f>
        <v>0</v>
      </c>
      <c r="S399" s="63"/>
      <c r="T399" s="63"/>
      <c r="U399" s="63"/>
      <c r="V399" s="63"/>
      <c r="W399" s="61">
        <f>SUM(S399:V399)</f>
        <v>0</v>
      </c>
      <c r="X399" s="63"/>
      <c r="Y399" s="63"/>
      <c r="Z399" s="63"/>
      <c r="AA399" s="63"/>
      <c r="AB399" s="61">
        <f>SUM(X399:AA399)</f>
        <v>0</v>
      </c>
      <c r="AC399" s="63"/>
      <c r="AD399" s="63"/>
      <c r="AE399" s="63"/>
      <c r="AF399" s="63"/>
      <c r="AG399" s="61">
        <f>SUM(AC399:AF399)</f>
        <v>0</v>
      </c>
      <c r="AH399" s="63">
        <v>1</v>
      </c>
      <c r="AI399" s="63"/>
      <c r="AJ399" s="63"/>
      <c r="AK399" s="63"/>
      <c r="AL399" s="61">
        <f>SUM(AH399:AK399)</f>
        <v>1</v>
      </c>
      <c r="AM399" s="68">
        <f t="shared" si="96"/>
        <v>3</v>
      </c>
    </row>
    <row r="400" spans="1:39" x14ac:dyDescent="0.35">
      <c r="A400" s="66" t="s">
        <v>367</v>
      </c>
      <c r="B400" s="67" t="s">
        <v>368</v>
      </c>
      <c r="C400" s="66"/>
      <c r="D400" s="66">
        <f t="shared" ref="D400:AL400" si="99">SUM(D396:D399)</f>
        <v>2</v>
      </c>
      <c r="E400" s="66">
        <f t="shared" si="99"/>
        <v>0</v>
      </c>
      <c r="F400" s="66">
        <f t="shared" si="99"/>
        <v>0</v>
      </c>
      <c r="G400" s="66">
        <f t="shared" si="99"/>
        <v>0</v>
      </c>
      <c r="H400" s="61">
        <f t="shared" si="99"/>
        <v>2</v>
      </c>
      <c r="I400" s="66">
        <f t="shared" si="99"/>
        <v>0</v>
      </c>
      <c r="J400" s="66">
        <f t="shared" si="99"/>
        <v>0</v>
      </c>
      <c r="K400" s="66">
        <f t="shared" si="99"/>
        <v>0</v>
      </c>
      <c r="L400" s="66">
        <f t="shared" si="99"/>
        <v>0</v>
      </c>
      <c r="M400" s="61">
        <f t="shared" si="99"/>
        <v>0</v>
      </c>
      <c r="N400" s="66">
        <f t="shared" si="99"/>
        <v>3</v>
      </c>
      <c r="O400" s="66">
        <f t="shared" si="99"/>
        <v>0</v>
      </c>
      <c r="P400" s="66">
        <f t="shared" si="99"/>
        <v>0</v>
      </c>
      <c r="Q400" s="66">
        <f t="shared" si="99"/>
        <v>0</v>
      </c>
      <c r="R400" s="61">
        <f t="shared" si="99"/>
        <v>3</v>
      </c>
      <c r="S400" s="66">
        <f t="shared" si="99"/>
        <v>0</v>
      </c>
      <c r="T400" s="66">
        <f t="shared" si="99"/>
        <v>0</v>
      </c>
      <c r="U400" s="66">
        <f t="shared" si="99"/>
        <v>0</v>
      </c>
      <c r="V400" s="66">
        <f t="shared" si="99"/>
        <v>0</v>
      </c>
      <c r="W400" s="61">
        <f t="shared" si="99"/>
        <v>0</v>
      </c>
      <c r="X400" s="66">
        <f t="shared" si="99"/>
        <v>0</v>
      </c>
      <c r="Y400" s="66">
        <f t="shared" si="99"/>
        <v>0</v>
      </c>
      <c r="Z400" s="66">
        <f t="shared" si="99"/>
        <v>0</v>
      </c>
      <c r="AA400" s="66">
        <f t="shared" si="99"/>
        <v>0</v>
      </c>
      <c r="AB400" s="61">
        <f t="shared" si="99"/>
        <v>0</v>
      </c>
      <c r="AC400" s="66">
        <f t="shared" si="99"/>
        <v>0</v>
      </c>
      <c r="AD400" s="66">
        <f t="shared" si="99"/>
        <v>0</v>
      </c>
      <c r="AE400" s="66">
        <f t="shared" si="99"/>
        <v>0</v>
      </c>
      <c r="AF400" s="66">
        <f t="shared" si="99"/>
        <v>0</v>
      </c>
      <c r="AG400" s="61">
        <f t="shared" si="99"/>
        <v>0</v>
      </c>
      <c r="AH400" s="66">
        <f t="shared" si="99"/>
        <v>5</v>
      </c>
      <c r="AI400" s="66">
        <f t="shared" si="99"/>
        <v>0</v>
      </c>
      <c r="AJ400" s="66">
        <f t="shared" si="99"/>
        <v>0</v>
      </c>
      <c r="AK400" s="66">
        <f t="shared" si="99"/>
        <v>0</v>
      </c>
      <c r="AL400" s="61">
        <f t="shared" si="99"/>
        <v>5</v>
      </c>
      <c r="AM400" s="68">
        <f t="shared" si="96"/>
        <v>10</v>
      </c>
    </row>
    <row r="401" spans="1:39" hidden="1" x14ac:dyDescent="0.35">
      <c r="A401" s="59" t="s">
        <v>369</v>
      </c>
      <c r="B401" s="54">
        <v>10</v>
      </c>
      <c r="C401" s="60" t="s">
        <v>225</v>
      </c>
      <c r="D401" s="60">
        <v>8</v>
      </c>
      <c r="E401" s="60">
        <v>5</v>
      </c>
      <c r="F401" s="60"/>
      <c r="G401" s="60"/>
      <c r="H401" s="61">
        <f>SUM(D401:G401)</f>
        <v>13</v>
      </c>
      <c r="I401" s="60"/>
      <c r="J401" s="60">
        <v>1</v>
      </c>
      <c r="K401" s="60"/>
      <c r="L401" s="60"/>
      <c r="M401" s="61">
        <f>SUM(I401:L401)</f>
        <v>1</v>
      </c>
      <c r="N401" s="60">
        <v>2</v>
      </c>
      <c r="O401" s="60"/>
      <c r="P401" s="60"/>
      <c r="Q401" s="60"/>
      <c r="R401" s="61">
        <f>SUM(N401:Q401)</f>
        <v>2</v>
      </c>
      <c r="S401" s="60"/>
      <c r="T401" s="60"/>
      <c r="U401" s="60"/>
      <c r="V401" s="60"/>
      <c r="W401" s="61">
        <f>SUM(S401:V401)</f>
        <v>0</v>
      </c>
      <c r="X401" s="60"/>
      <c r="Y401" s="60"/>
      <c r="Z401" s="60"/>
      <c r="AA401" s="60"/>
      <c r="AB401" s="61">
        <f>SUM(X401:AA401)</f>
        <v>0</v>
      </c>
      <c r="AC401" s="60"/>
      <c r="AD401" s="60"/>
      <c r="AE401" s="60"/>
      <c r="AF401" s="60"/>
      <c r="AG401" s="61">
        <f>SUM(AC401:AF401)</f>
        <v>0</v>
      </c>
      <c r="AH401" s="60">
        <v>11</v>
      </c>
      <c r="AI401" s="60">
        <v>5</v>
      </c>
      <c r="AJ401" s="60"/>
      <c r="AK401" s="60"/>
      <c r="AL401" s="61">
        <f>SUM(AH401:AK401)</f>
        <v>16</v>
      </c>
      <c r="AM401" s="68">
        <f t="shared" si="96"/>
        <v>32</v>
      </c>
    </row>
    <row r="402" spans="1:39" hidden="1" x14ac:dyDescent="0.35">
      <c r="A402" s="111" t="s">
        <v>291</v>
      </c>
      <c r="B402" s="54"/>
      <c r="C402" s="63" t="s">
        <v>227</v>
      </c>
      <c r="D402" s="63">
        <v>8</v>
      </c>
      <c r="E402" s="63">
        <v>2</v>
      </c>
      <c r="F402" s="63"/>
      <c r="G402" s="63"/>
      <c r="H402" s="61">
        <f>SUM(D402:G402)</f>
        <v>10</v>
      </c>
      <c r="I402" s="63"/>
      <c r="J402" s="63"/>
      <c r="K402" s="63"/>
      <c r="L402" s="63"/>
      <c r="M402" s="61">
        <f>SUM(I402:L402)</f>
        <v>0</v>
      </c>
      <c r="N402" s="63"/>
      <c r="O402" s="63">
        <v>1</v>
      </c>
      <c r="P402" s="63"/>
      <c r="Q402" s="63"/>
      <c r="R402" s="61">
        <f>SUM(N402:Q402)</f>
        <v>1</v>
      </c>
      <c r="S402" s="63"/>
      <c r="T402" s="63"/>
      <c r="U402" s="63"/>
      <c r="V402" s="63"/>
      <c r="W402" s="61">
        <f>SUM(S402:V402)</f>
        <v>0</v>
      </c>
      <c r="X402" s="63"/>
      <c r="Y402" s="63"/>
      <c r="Z402" s="63"/>
      <c r="AA402" s="63"/>
      <c r="AB402" s="61">
        <f>SUM(X402:AA402)</f>
        <v>0</v>
      </c>
      <c r="AC402" s="63">
        <v>1</v>
      </c>
      <c r="AD402" s="63"/>
      <c r="AE402" s="63"/>
      <c r="AF402" s="63"/>
      <c r="AG402" s="61">
        <f>SUM(AC402:AF402)</f>
        <v>1</v>
      </c>
      <c r="AH402" s="63">
        <v>7</v>
      </c>
      <c r="AI402" s="63">
        <v>1</v>
      </c>
      <c r="AJ402" s="63"/>
      <c r="AK402" s="63"/>
      <c r="AL402" s="61">
        <f>SUM(AH402:AK402)</f>
        <v>8</v>
      </c>
      <c r="AM402" s="68">
        <f t="shared" si="96"/>
        <v>20</v>
      </c>
    </row>
    <row r="403" spans="1:39" hidden="1" x14ac:dyDescent="0.35">
      <c r="A403" s="111"/>
      <c r="B403" s="54"/>
      <c r="C403" s="60" t="s">
        <v>228</v>
      </c>
      <c r="D403" s="60">
        <v>15</v>
      </c>
      <c r="E403" s="60">
        <v>1</v>
      </c>
      <c r="F403" s="60"/>
      <c r="G403" s="60"/>
      <c r="H403" s="61">
        <f>SUM(D403:G403)</f>
        <v>16</v>
      </c>
      <c r="I403" s="60">
        <v>1</v>
      </c>
      <c r="J403" s="60"/>
      <c r="K403" s="60"/>
      <c r="L403" s="60"/>
      <c r="M403" s="61">
        <f>SUM(I403:L403)</f>
        <v>1</v>
      </c>
      <c r="N403" s="60"/>
      <c r="O403" s="60"/>
      <c r="P403" s="60"/>
      <c r="Q403" s="60"/>
      <c r="R403" s="61">
        <f>SUM(N403:Q403)</f>
        <v>0</v>
      </c>
      <c r="S403" s="60"/>
      <c r="T403" s="60"/>
      <c r="U403" s="60"/>
      <c r="V403" s="60"/>
      <c r="W403" s="61">
        <f>SUM(S403:V403)</f>
        <v>0</v>
      </c>
      <c r="X403" s="60"/>
      <c r="Y403" s="60"/>
      <c r="Z403" s="60"/>
      <c r="AA403" s="60"/>
      <c r="AB403" s="61">
        <f>SUM(X403:AA403)</f>
        <v>0</v>
      </c>
      <c r="AC403" s="60"/>
      <c r="AD403" s="60"/>
      <c r="AE403" s="60"/>
      <c r="AF403" s="60"/>
      <c r="AG403" s="61">
        <f>SUM(AC403:AF403)</f>
        <v>0</v>
      </c>
      <c r="AH403" s="60">
        <v>5</v>
      </c>
      <c r="AI403" s="60">
        <v>2</v>
      </c>
      <c r="AJ403" s="60"/>
      <c r="AK403" s="60"/>
      <c r="AL403" s="61">
        <f>SUM(AH403:AK403)</f>
        <v>7</v>
      </c>
      <c r="AM403" s="68">
        <f t="shared" si="96"/>
        <v>24</v>
      </c>
    </row>
    <row r="404" spans="1:39" hidden="1" x14ac:dyDescent="0.35">
      <c r="A404" s="111"/>
      <c r="B404" s="54"/>
      <c r="C404" s="63" t="s">
        <v>235</v>
      </c>
      <c r="D404" s="63">
        <v>18</v>
      </c>
      <c r="E404" s="63">
        <v>5</v>
      </c>
      <c r="F404" s="63"/>
      <c r="G404" s="63"/>
      <c r="H404" s="61">
        <f>SUM(D404:G404)</f>
        <v>23</v>
      </c>
      <c r="I404" s="63"/>
      <c r="J404" s="63"/>
      <c r="K404" s="63"/>
      <c r="L404" s="63"/>
      <c r="M404" s="61">
        <f>SUM(I404:L404)</f>
        <v>0</v>
      </c>
      <c r="N404" s="63">
        <v>4</v>
      </c>
      <c r="O404" s="63"/>
      <c r="P404" s="63"/>
      <c r="Q404" s="63"/>
      <c r="R404" s="61">
        <f>SUM(N404:Q404)</f>
        <v>4</v>
      </c>
      <c r="S404" s="63"/>
      <c r="T404" s="63"/>
      <c r="U404" s="63"/>
      <c r="V404" s="63"/>
      <c r="W404" s="61">
        <f>SUM(S404:V404)</f>
        <v>0</v>
      </c>
      <c r="X404" s="63"/>
      <c r="Y404" s="63"/>
      <c r="Z404" s="63"/>
      <c r="AA404" s="63"/>
      <c r="AB404" s="61">
        <f>SUM(X404:AA404)</f>
        <v>0</v>
      </c>
      <c r="AC404" s="63">
        <v>2</v>
      </c>
      <c r="AD404" s="63"/>
      <c r="AE404" s="63"/>
      <c r="AF404" s="63"/>
      <c r="AG404" s="61">
        <f>SUM(AC404:AF404)</f>
        <v>2</v>
      </c>
      <c r="AH404" s="63">
        <v>6</v>
      </c>
      <c r="AI404" s="63">
        <v>4</v>
      </c>
      <c r="AJ404" s="63"/>
      <c r="AK404" s="63"/>
      <c r="AL404" s="61">
        <f>SUM(AH404:AK404)</f>
        <v>10</v>
      </c>
      <c r="AM404" s="68">
        <f t="shared" si="96"/>
        <v>39</v>
      </c>
    </row>
    <row r="405" spans="1:39" hidden="1" x14ac:dyDescent="0.35">
      <c r="A405" s="66" t="s">
        <v>291</v>
      </c>
      <c r="B405" s="67"/>
      <c r="C405" s="66"/>
      <c r="D405" s="66">
        <f t="shared" ref="D405:AL405" si="100">SUM(D401:D404)</f>
        <v>49</v>
      </c>
      <c r="E405" s="66">
        <f t="shared" si="100"/>
        <v>13</v>
      </c>
      <c r="F405" s="66">
        <f t="shared" si="100"/>
        <v>0</v>
      </c>
      <c r="G405" s="66">
        <f t="shared" si="100"/>
        <v>0</v>
      </c>
      <c r="H405" s="61">
        <f t="shared" si="100"/>
        <v>62</v>
      </c>
      <c r="I405" s="66">
        <f t="shared" si="100"/>
        <v>1</v>
      </c>
      <c r="J405" s="66">
        <f t="shared" si="100"/>
        <v>1</v>
      </c>
      <c r="K405" s="66">
        <f t="shared" si="100"/>
        <v>0</v>
      </c>
      <c r="L405" s="66">
        <f t="shared" si="100"/>
        <v>0</v>
      </c>
      <c r="M405" s="61">
        <f t="shared" si="100"/>
        <v>2</v>
      </c>
      <c r="N405" s="66">
        <f t="shared" si="100"/>
        <v>6</v>
      </c>
      <c r="O405" s="66">
        <f t="shared" si="100"/>
        <v>1</v>
      </c>
      <c r="P405" s="66">
        <f t="shared" si="100"/>
        <v>0</v>
      </c>
      <c r="Q405" s="66">
        <f t="shared" si="100"/>
        <v>0</v>
      </c>
      <c r="R405" s="61">
        <f t="shared" si="100"/>
        <v>7</v>
      </c>
      <c r="S405" s="66">
        <f t="shared" si="100"/>
        <v>0</v>
      </c>
      <c r="T405" s="66">
        <f t="shared" si="100"/>
        <v>0</v>
      </c>
      <c r="U405" s="66">
        <f t="shared" si="100"/>
        <v>0</v>
      </c>
      <c r="V405" s="66">
        <f t="shared" si="100"/>
        <v>0</v>
      </c>
      <c r="W405" s="61">
        <f t="shared" si="100"/>
        <v>0</v>
      </c>
      <c r="X405" s="66">
        <f t="shared" si="100"/>
        <v>0</v>
      </c>
      <c r="Y405" s="66">
        <f t="shared" si="100"/>
        <v>0</v>
      </c>
      <c r="Z405" s="66">
        <f t="shared" si="100"/>
        <v>0</v>
      </c>
      <c r="AA405" s="66">
        <f t="shared" si="100"/>
        <v>0</v>
      </c>
      <c r="AB405" s="61">
        <f t="shared" si="100"/>
        <v>0</v>
      </c>
      <c r="AC405" s="66">
        <f t="shared" si="100"/>
        <v>3</v>
      </c>
      <c r="AD405" s="66">
        <f t="shared" si="100"/>
        <v>0</v>
      </c>
      <c r="AE405" s="66">
        <f t="shared" si="100"/>
        <v>0</v>
      </c>
      <c r="AF405" s="66">
        <f t="shared" si="100"/>
        <v>0</v>
      </c>
      <c r="AG405" s="61">
        <f t="shared" si="100"/>
        <v>3</v>
      </c>
      <c r="AH405" s="66">
        <f t="shared" si="100"/>
        <v>29</v>
      </c>
      <c r="AI405" s="66">
        <f t="shared" si="100"/>
        <v>12</v>
      </c>
      <c r="AJ405" s="66">
        <f t="shared" si="100"/>
        <v>0</v>
      </c>
      <c r="AK405" s="66">
        <f t="shared" si="100"/>
        <v>0</v>
      </c>
      <c r="AL405" s="61">
        <f t="shared" si="100"/>
        <v>41</v>
      </c>
      <c r="AM405" s="68">
        <f t="shared" si="96"/>
        <v>115</v>
      </c>
    </row>
    <row r="406" spans="1:39" hidden="1" x14ac:dyDescent="0.35">
      <c r="A406" s="111" t="s">
        <v>370</v>
      </c>
      <c r="B406" s="54"/>
      <c r="C406" s="60" t="s">
        <v>225</v>
      </c>
      <c r="D406" s="60"/>
      <c r="E406" s="60"/>
      <c r="F406" s="60"/>
      <c r="G406" s="60"/>
      <c r="H406" s="61">
        <f>SUM(D406:G406)</f>
        <v>0</v>
      </c>
      <c r="I406" s="60"/>
      <c r="J406" s="60"/>
      <c r="K406" s="60"/>
      <c r="L406" s="60"/>
      <c r="M406" s="61">
        <f>SUM(I406:L406)</f>
        <v>0</v>
      </c>
      <c r="N406" s="60"/>
      <c r="O406" s="60"/>
      <c r="P406" s="60"/>
      <c r="Q406" s="60"/>
      <c r="R406" s="61">
        <f>SUM(N406:Q406)</f>
        <v>0</v>
      </c>
      <c r="S406" s="60"/>
      <c r="T406" s="60"/>
      <c r="U406" s="60"/>
      <c r="V406" s="60"/>
      <c r="W406" s="61">
        <f>SUM(S406:V406)</f>
        <v>0</v>
      </c>
      <c r="X406" s="60"/>
      <c r="Y406" s="60"/>
      <c r="Z406" s="60"/>
      <c r="AA406" s="60"/>
      <c r="AB406" s="61">
        <f>SUM(X406:AA406)</f>
        <v>0</v>
      </c>
      <c r="AC406" s="60"/>
      <c r="AD406" s="60"/>
      <c r="AE406" s="60"/>
      <c r="AF406" s="60"/>
      <c r="AG406" s="61">
        <f>SUM(AC406:AF406)</f>
        <v>0</v>
      </c>
      <c r="AH406" s="60"/>
      <c r="AI406" s="60"/>
      <c r="AJ406" s="60"/>
      <c r="AK406" s="60"/>
      <c r="AL406" s="61">
        <f>SUM(AH406:AK406)</f>
        <v>0</v>
      </c>
      <c r="AM406" s="68">
        <f t="shared" si="96"/>
        <v>0</v>
      </c>
    </row>
    <row r="407" spans="1:39" hidden="1" x14ac:dyDescent="0.35">
      <c r="A407" s="111"/>
      <c r="B407" s="54"/>
      <c r="C407" s="63" t="s">
        <v>227</v>
      </c>
      <c r="D407" s="63"/>
      <c r="E407" s="63"/>
      <c r="F407" s="63"/>
      <c r="G407" s="63"/>
      <c r="H407" s="61">
        <f>SUM(D407:G407)</f>
        <v>0</v>
      </c>
      <c r="I407" s="63"/>
      <c r="J407" s="63"/>
      <c r="K407" s="63"/>
      <c r="L407" s="63"/>
      <c r="M407" s="61">
        <f>SUM(I407:L407)</f>
        <v>0</v>
      </c>
      <c r="N407" s="63"/>
      <c r="O407" s="63"/>
      <c r="P407" s="63"/>
      <c r="Q407" s="63"/>
      <c r="R407" s="61">
        <f>SUM(N407:Q407)</f>
        <v>0</v>
      </c>
      <c r="S407" s="63"/>
      <c r="T407" s="63"/>
      <c r="U407" s="63"/>
      <c r="V407" s="63"/>
      <c r="W407" s="61">
        <f>SUM(S407:V407)</f>
        <v>0</v>
      </c>
      <c r="X407" s="63"/>
      <c r="Y407" s="63"/>
      <c r="Z407" s="63"/>
      <c r="AA407" s="63"/>
      <c r="AB407" s="61">
        <f>SUM(X407:AA407)</f>
        <v>0</v>
      </c>
      <c r="AC407" s="63"/>
      <c r="AD407" s="63"/>
      <c r="AE407" s="63"/>
      <c r="AF407" s="63"/>
      <c r="AG407" s="61">
        <f>SUM(AC407:AF407)</f>
        <v>0</v>
      </c>
      <c r="AH407" s="63"/>
      <c r="AI407" s="63"/>
      <c r="AJ407" s="63"/>
      <c r="AK407" s="63"/>
      <c r="AL407" s="61">
        <f>SUM(AH407:AK407)</f>
        <v>0</v>
      </c>
      <c r="AM407" s="68">
        <f t="shared" si="96"/>
        <v>0</v>
      </c>
    </row>
    <row r="408" spans="1:39" hidden="1" x14ac:dyDescent="0.35">
      <c r="A408" s="111"/>
      <c r="B408" s="54"/>
      <c r="C408" s="60" t="s">
        <v>228</v>
      </c>
      <c r="D408" s="60"/>
      <c r="E408" s="60"/>
      <c r="F408" s="60"/>
      <c r="G408" s="60"/>
      <c r="H408" s="61">
        <f>SUM(D408:G408)</f>
        <v>0</v>
      </c>
      <c r="I408" s="60"/>
      <c r="J408" s="60"/>
      <c r="K408" s="60"/>
      <c r="L408" s="60"/>
      <c r="M408" s="61">
        <f>SUM(I408:L408)</f>
        <v>0</v>
      </c>
      <c r="N408" s="60"/>
      <c r="O408" s="60"/>
      <c r="P408" s="60"/>
      <c r="Q408" s="60"/>
      <c r="R408" s="61">
        <f>SUM(N408:Q408)</f>
        <v>0</v>
      </c>
      <c r="S408" s="60"/>
      <c r="T408" s="60"/>
      <c r="U408" s="60"/>
      <c r="V408" s="60"/>
      <c r="W408" s="61">
        <f>SUM(S408:V408)</f>
        <v>0</v>
      </c>
      <c r="X408" s="60"/>
      <c r="Y408" s="60"/>
      <c r="Z408" s="60"/>
      <c r="AA408" s="60"/>
      <c r="AB408" s="61">
        <f>SUM(X408:AA408)</f>
        <v>0</v>
      </c>
      <c r="AC408" s="60"/>
      <c r="AD408" s="60"/>
      <c r="AE408" s="60"/>
      <c r="AF408" s="60"/>
      <c r="AG408" s="61">
        <f>SUM(AC408:AF408)</f>
        <v>0</v>
      </c>
      <c r="AH408" s="60"/>
      <c r="AI408" s="60"/>
      <c r="AJ408" s="60"/>
      <c r="AK408" s="60"/>
      <c r="AL408" s="61">
        <f>SUM(AH408:AK408)</f>
        <v>0</v>
      </c>
      <c r="AM408" s="68">
        <f t="shared" si="96"/>
        <v>0</v>
      </c>
    </row>
    <row r="409" spans="1:39" hidden="1" x14ac:dyDescent="0.35">
      <c r="A409" s="111"/>
      <c r="B409" s="54"/>
      <c r="C409" s="63" t="s">
        <v>235</v>
      </c>
      <c r="D409" s="63"/>
      <c r="E409" s="63"/>
      <c r="F409" s="63"/>
      <c r="G409" s="63"/>
      <c r="H409" s="61">
        <f>SUM(D409:G409)</f>
        <v>0</v>
      </c>
      <c r="I409" s="63"/>
      <c r="J409" s="63"/>
      <c r="K409" s="63"/>
      <c r="L409" s="63"/>
      <c r="M409" s="61">
        <f>SUM(I409:L409)</f>
        <v>0</v>
      </c>
      <c r="N409" s="63"/>
      <c r="O409" s="63"/>
      <c r="P409" s="63"/>
      <c r="Q409" s="63"/>
      <c r="R409" s="61">
        <f>SUM(N409:Q409)</f>
        <v>0</v>
      </c>
      <c r="S409" s="63"/>
      <c r="T409" s="63"/>
      <c r="U409" s="63"/>
      <c r="V409" s="63"/>
      <c r="W409" s="61">
        <f>SUM(S409:V409)</f>
        <v>0</v>
      </c>
      <c r="X409" s="63"/>
      <c r="Y409" s="63"/>
      <c r="Z409" s="63"/>
      <c r="AA409" s="63"/>
      <c r="AB409" s="61">
        <f>SUM(X409:AA409)</f>
        <v>0</v>
      </c>
      <c r="AC409" s="63"/>
      <c r="AD409" s="63"/>
      <c r="AE409" s="63"/>
      <c r="AF409" s="63"/>
      <c r="AG409" s="61">
        <f>SUM(AC409:AF409)</f>
        <v>0</v>
      </c>
      <c r="AH409" s="63"/>
      <c r="AI409" s="63"/>
      <c r="AJ409" s="63"/>
      <c r="AK409" s="63"/>
      <c r="AL409" s="61">
        <f>SUM(AH409:AK409)</f>
        <v>0</v>
      </c>
      <c r="AM409" s="68">
        <f t="shared" si="96"/>
        <v>0</v>
      </c>
    </row>
    <row r="410" spans="1:39" hidden="1" x14ac:dyDescent="0.35">
      <c r="A410" s="76" t="s">
        <v>371</v>
      </c>
      <c r="B410" s="67"/>
      <c r="C410" s="66"/>
      <c r="D410" s="66">
        <f t="shared" ref="D410:AL410" si="101">SUM(D406:D409)</f>
        <v>0</v>
      </c>
      <c r="E410" s="66">
        <f t="shared" si="101"/>
        <v>0</v>
      </c>
      <c r="F410" s="66">
        <f t="shared" si="101"/>
        <v>0</v>
      </c>
      <c r="G410" s="66">
        <f t="shared" si="101"/>
        <v>0</v>
      </c>
      <c r="H410" s="61">
        <f t="shared" si="101"/>
        <v>0</v>
      </c>
      <c r="I410" s="66">
        <f t="shared" si="101"/>
        <v>0</v>
      </c>
      <c r="J410" s="66">
        <f t="shared" si="101"/>
        <v>0</v>
      </c>
      <c r="K410" s="66">
        <f t="shared" si="101"/>
        <v>0</v>
      </c>
      <c r="L410" s="66">
        <f t="shared" si="101"/>
        <v>0</v>
      </c>
      <c r="M410" s="61">
        <f t="shared" si="101"/>
        <v>0</v>
      </c>
      <c r="N410" s="66">
        <f t="shared" si="101"/>
        <v>0</v>
      </c>
      <c r="O410" s="66">
        <f t="shared" si="101"/>
        <v>0</v>
      </c>
      <c r="P410" s="66">
        <f t="shared" si="101"/>
        <v>0</v>
      </c>
      <c r="Q410" s="66">
        <f t="shared" si="101"/>
        <v>0</v>
      </c>
      <c r="R410" s="61">
        <f t="shared" si="101"/>
        <v>0</v>
      </c>
      <c r="S410" s="66">
        <f t="shared" si="101"/>
        <v>0</v>
      </c>
      <c r="T410" s="66">
        <f t="shared" si="101"/>
        <v>0</v>
      </c>
      <c r="U410" s="66">
        <f t="shared" si="101"/>
        <v>0</v>
      </c>
      <c r="V410" s="66">
        <f t="shared" si="101"/>
        <v>0</v>
      </c>
      <c r="W410" s="61">
        <f t="shared" si="101"/>
        <v>0</v>
      </c>
      <c r="X410" s="66">
        <f t="shared" si="101"/>
        <v>0</v>
      </c>
      <c r="Y410" s="66">
        <f t="shared" si="101"/>
        <v>0</v>
      </c>
      <c r="Z410" s="66">
        <f t="shared" si="101"/>
        <v>0</v>
      </c>
      <c r="AA410" s="66">
        <f t="shared" si="101"/>
        <v>0</v>
      </c>
      <c r="AB410" s="61">
        <f t="shared" si="101"/>
        <v>0</v>
      </c>
      <c r="AC410" s="66">
        <f t="shared" si="101"/>
        <v>0</v>
      </c>
      <c r="AD410" s="66">
        <f t="shared" si="101"/>
        <v>0</v>
      </c>
      <c r="AE410" s="66">
        <f t="shared" si="101"/>
        <v>0</v>
      </c>
      <c r="AF410" s="66">
        <f t="shared" si="101"/>
        <v>0</v>
      </c>
      <c r="AG410" s="61">
        <f t="shared" si="101"/>
        <v>0</v>
      </c>
      <c r="AH410" s="66">
        <f t="shared" si="101"/>
        <v>0</v>
      </c>
      <c r="AI410" s="66">
        <f t="shared" si="101"/>
        <v>0</v>
      </c>
      <c r="AJ410" s="66">
        <f t="shared" si="101"/>
        <v>0</v>
      </c>
      <c r="AK410" s="66">
        <f t="shared" si="101"/>
        <v>0</v>
      </c>
      <c r="AL410" s="61">
        <f t="shared" si="101"/>
        <v>0</v>
      </c>
      <c r="AM410" s="68">
        <f t="shared" si="96"/>
        <v>0</v>
      </c>
    </row>
    <row r="411" spans="1:39" hidden="1" x14ac:dyDescent="0.35">
      <c r="A411" s="111" t="s">
        <v>372</v>
      </c>
      <c r="B411" s="54"/>
      <c r="C411" s="60" t="s">
        <v>225</v>
      </c>
      <c r="D411" s="60">
        <v>127</v>
      </c>
      <c r="E411" s="60">
        <v>10</v>
      </c>
      <c r="F411" s="60">
        <v>2</v>
      </c>
      <c r="G411" s="60"/>
      <c r="H411" s="61">
        <f>SUM(D411:G411)</f>
        <v>139</v>
      </c>
      <c r="I411" s="60">
        <v>15</v>
      </c>
      <c r="J411" s="60">
        <v>4</v>
      </c>
      <c r="K411" s="60"/>
      <c r="L411" s="60"/>
      <c r="M411" s="61">
        <f>SUM(I411:L411)</f>
        <v>19</v>
      </c>
      <c r="N411" s="60">
        <v>8</v>
      </c>
      <c r="O411" s="60">
        <v>2</v>
      </c>
      <c r="P411" s="60"/>
      <c r="Q411" s="60"/>
      <c r="R411" s="61">
        <f>SUM(N411:Q411)</f>
        <v>10</v>
      </c>
      <c r="S411" s="60"/>
      <c r="T411" s="60"/>
      <c r="U411" s="60"/>
      <c r="V411" s="60"/>
      <c r="W411" s="61">
        <f>SUM(S411:V411)</f>
        <v>0</v>
      </c>
      <c r="X411" s="60"/>
      <c r="Y411" s="60"/>
      <c r="Z411" s="60"/>
      <c r="AA411" s="60"/>
      <c r="AB411" s="61">
        <f>SUM(X411:AA411)</f>
        <v>0</v>
      </c>
      <c r="AC411" s="60">
        <v>4</v>
      </c>
      <c r="AD411" s="60"/>
      <c r="AE411" s="60"/>
      <c r="AF411" s="60"/>
      <c r="AG411" s="61">
        <f>SUM(AC411:AF411)</f>
        <v>4</v>
      </c>
      <c r="AH411" s="60">
        <v>20</v>
      </c>
      <c r="AI411" s="60">
        <v>2</v>
      </c>
      <c r="AJ411" s="60">
        <v>1</v>
      </c>
      <c r="AK411" s="60"/>
      <c r="AL411" s="61">
        <f>SUM(AH411:AK411)</f>
        <v>23</v>
      </c>
      <c r="AM411" s="68">
        <f t="shared" si="96"/>
        <v>195</v>
      </c>
    </row>
    <row r="412" spans="1:39" hidden="1" x14ac:dyDescent="0.35">
      <c r="A412" s="111"/>
      <c r="B412" s="54"/>
      <c r="C412" s="63" t="s">
        <v>227</v>
      </c>
      <c r="D412" s="63">
        <v>120</v>
      </c>
      <c r="E412" s="63">
        <v>9</v>
      </c>
      <c r="F412" s="63">
        <v>2</v>
      </c>
      <c r="G412" s="63"/>
      <c r="H412" s="61">
        <f>SUM(D412:G412)</f>
        <v>131</v>
      </c>
      <c r="I412" s="63">
        <v>15</v>
      </c>
      <c r="J412" s="63">
        <v>1</v>
      </c>
      <c r="K412" s="63">
        <v>2</v>
      </c>
      <c r="L412" s="63"/>
      <c r="M412" s="61">
        <f>SUM(I412:L412)</f>
        <v>18</v>
      </c>
      <c r="N412" s="63">
        <v>9</v>
      </c>
      <c r="O412" s="63">
        <v>3</v>
      </c>
      <c r="P412" s="63"/>
      <c r="Q412" s="63"/>
      <c r="R412" s="61">
        <f>SUM(N412:Q412)</f>
        <v>12</v>
      </c>
      <c r="S412" s="63"/>
      <c r="T412" s="63"/>
      <c r="U412" s="63"/>
      <c r="V412" s="63"/>
      <c r="W412" s="61">
        <f>SUM(S412:V412)</f>
        <v>0</v>
      </c>
      <c r="X412" s="63"/>
      <c r="Y412" s="63"/>
      <c r="Z412" s="63"/>
      <c r="AA412" s="63"/>
      <c r="AB412" s="61">
        <f>SUM(X412:AA412)</f>
        <v>0</v>
      </c>
      <c r="AC412" s="63">
        <v>5</v>
      </c>
      <c r="AD412" s="63"/>
      <c r="AE412" s="63"/>
      <c r="AF412" s="63"/>
      <c r="AG412" s="61">
        <f>SUM(AC412:AF412)</f>
        <v>5</v>
      </c>
      <c r="AH412" s="63">
        <v>23</v>
      </c>
      <c r="AI412" s="63">
        <v>3</v>
      </c>
      <c r="AJ412" s="63">
        <v>2</v>
      </c>
      <c r="AK412" s="63"/>
      <c r="AL412" s="61">
        <f>SUM(AH412:AK412)</f>
        <v>28</v>
      </c>
      <c r="AM412" s="68">
        <f t="shared" si="96"/>
        <v>194</v>
      </c>
    </row>
    <row r="413" spans="1:39" hidden="1" x14ac:dyDescent="0.35">
      <c r="A413" s="111"/>
      <c r="B413" s="54"/>
      <c r="C413" s="60" t="s">
        <v>228</v>
      </c>
      <c r="D413" s="60">
        <v>99</v>
      </c>
      <c r="E413" s="60">
        <v>4</v>
      </c>
      <c r="F413" s="60"/>
      <c r="G413" s="60">
        <v>3</v>
      </c>
      <c r="H413" s="61">
        <f>SUM(D413:G413)</f>
        <v>106</v>
      </c>
      <c r="I413" s="60">
        <v>4</v>
      </c>
      <c r="J413" s="60">
        <v>1</v>
      </c>
      <c r="K413" s="60"/>
      <c r="L413" s="60"/>
      <c r="M413" s="61">
        <f>SUM(I413:L413)</f>
        <v>5</v>
      </c>
      <c r="N413" s="60"/>
      <c r="O413" s="60">
        <v>2</v>
      </c>
      <c r="P413" s="60"/>
      <c r="Q413" s="60"/>
      <c r="R413" s="61">
        <f>SUM(N413:Q413)</f>
        <v>2</v>
      </c>
      <c r="S413" s="60"/>
      <c r="T413" s="60"/>
      <c r="U413" s="60"/>
      <c r="V413" s="60"/>
      <c r="W413" s="61">
        <f>SUM(S413:V413)</f>
        <v>0</v>
      </c>
      <c r="X413" s="60"/>
      <c r="Y413" s="60"/>
      <c r="Z413" s="60"/>
      <c r="AA413" s="60"/>
      <c r="AB413" s="61">
        <f>SUM(X413:AA413)</f>
        <v>0</v>
      </c>
      <c r="AC413" s="60">
        <v>1</v>
      </c>
      <c r="AD413" s="60"/>
      <c r="AE413" s="60"/>
      <c r="AF413" s="60"/>
      <c r="AG413" s="61">
        <f>SUM(AC413:AF413)</f>
        <v>1</v>
      </c>
      <c r="AH413" s="60">
        <v>4</v>
      </c>
      <c r="AI413" s="60">
        <v>2</v>
      </c>
      <c r="AJ413" s="60">
        <v>2</v>
      </c>
      <c r="AK413" s="60"/>
      <c r="AL413" s="61">
        <f>SUM(AH413:AK413)</f>
        <v>8</v>
      </c>
      <c r="AM413" s="68">
        <f t="shared" si="96"/>
        <v>122</v>
      </c>
    </row>
    <row r="414" spans="1:39" hidden="1" x14ac:dyDescent="0.35">
      <c r="A414" s="111"/>
      <c r="B414" s="54"/>
      <c r="C414" s="63" t="s">
        <v>235</v>
      </c>
      <c r="D414" s="63">
        <v>109</v>
      </c>
      <c r="E414" s="63">
        <v>5</v>
      </c>
      <c r="F414" s="63">
        <v>4</v>
      </c>
      <c r="G414" s="63"/>
      <c r="H414" s="61">
        <f>SUM(D414:G414)</f>
        <v>118</v>
      </c>
      <c r="I414" s="63">
        <v>4</v>
      </c>
      <c r="J414" s="63">
        <v>1</v>
      </c>
      <c r="K414" s="63"/>
      <c r="L414" s="63"/>
      <c r="M414" s="61">
        <f>SUM(I414:L414)</f>
        <v>5</v>
      </c>
      <c r="N414" s="63">
        <v>2</v>
      </c>
      <c r="O414" s="63">
        <v>2</v>
      </c>
      <c r="P414" s="63">
        <v>1</v>
      </c>
      <c r="Q414" s="63"/>
      <c r="R414" s="61">
        <f>SUM(N414:Q414)</f>
        <v>5</v>
      </c>
      <c r="S414" s="63"/>
      <c r="T414" s="63"/>
      <c r="U414" s="63"/>
      <c r="V414" s="63"/>
      <c r="W414" s="61">
        <f>SUM(S414:V414)</f>
        <v>0</v>
      </c>
      <c r="X414" s="63"/>
      <c r="Y414" s="63"/>
      <c r="Z414" s="63"/>
      <c r="AA414" s="63"/>
      <c r="AB414" s="61">
        <f>SUM(X414:AA414)</f>
        <v>0</v>
      </c>
      <c r="AC414" s="63">
        <v>1</v>
      </c>
      <c r="AD414" s="63"/>
      <c r="AE414" s="63"/>
      <c r="AF414" s="63"/>
      <c r="AG414" s="61">
        <f>SUM(AC414:AF414)</f>
        <v>1</v>
      </c>
      <c r="AH414" s="63">
        <v>3</v>
      </c>
      <c r="AI414" s="63">
        <v>1</v>
      </c>
      <c r="AJ414" s="63">
        <v>2</v>
      </c>
      <c r="AK414" s="63"/>
      <c r="AL414" s="61">
        <f>SUM(AH414:AK414)</f>
        <v>6</v>
      </c>
      <c r="AM414" s="68">
        <f t="shared" si="96"/>
        <v>135</v>
      </c>
    </row>
    <row r="415" spans="1:39" hidden="1" x14ac:dyDescent="0.35">
      <c r="A415" s="76" t="s">
        <v>373</v>
      </c>
      <c r="B415" s="67"/>
      <c r="C415" s="66"/>
      <c r="D415" s="66">
        <f t="shared" ref="D415:AL415" si="102">SUM(D411:D414)</f>
        <v>455</v>
      </c>
      <c r="E415" s="66">
        <f t="shared" si="102"/>
        <v>28</v>
      </c>
      <c r="F415" s="66">
        <f t="shared" si="102"/>
        <v>8</v>
      </c>
      <c r="G415" s="66">
        <f t="shared" si="102"/>
        <v>3</v>
      </c>
      <c r="H415" s="61">
        <f t="shared" si="102"/>
        <v>494</v>
      </c>
      <c r="I415" s="66">
        <f t="shared" si="102"/>
        <v>38</v>
      </c>
      <c r="J415" s="66">
        <f t="shared" si="102"/>
        <v>7</v>
      </c>
      <c r="K415" s="66">
        <f t="shared" si="102"/>
        <v>2</v>
      </c>
      <c r="L415" s="66">
        <f t="shared" si="102"/>
        <v>0</v>
      </c>
      <c r="M415" s="61">
        <f t="shared" si="102"/>
        <v>47</v>
      </c>
      <c r="N415" s="66">
        <f t="shared" si="102"/>
        <v>19</v>
      </c>
      <c r="O415" s="66">
        <f t="shared" si="102"/>
        <v>9</v>
      </c>
      <c r="P415" s="66">
        <f t="shared" si="102"/>
        <v>1</v>
      </c>
      <c r="Q415" s="66">
        <f t="shared" si="102"/>
        <v>0</v>
      </c>
      <c r="R415" s="61">
        <f t="shared" si="102"/>
        <v>29</v>
      </c>
      <c r="S415" s="66">
        <f t="shared" si="102"/>
        <v>0</v>
      </c>
      <c r="T415" s="66">
        <f t="shared" si="102"/>
        <v>0</v>
      </c>
      <c r="U415" s="66">
        <f t="shared" si="102"/>
        <v>0</v>
      </c>
      <c r="V415" s="66">
        <f t="shared" si="102"/>
        <v>0</v>
      </c>
      <c r="W415" s="61">
        <f t="shared" si="102"/>
        <v>0</v>
      </c>
      <c r="X415" s="66">
        <f t="shared" si="102"/>
        <v>0</v>
      </c>
      <c r="Y415" s="66">
        <f t="shared" si="102"/>
        <v>0</v>
      </c>
      <c r="Z415" s="66">
        <f t="shared" si="102"/>
        <v>0</v>
      </c>
      <c r="AA415" s="66">
        <f t="shared" si="102"/>
        <v>0</v>
      </c>
      <c r="AB415" s="61">
        <f t="shared" si="102"/>
        <v>0</v>
      </c>
      <c r="AC415" s="66">
        <f t="shared" si="102"/>
        <v>11</v>
      </c>
      <c r="AD415" s="66">
        <f t="shared" si="102"/>
        <v>0</v>
      </c>
      <c r="AE415" s="66">
        <f t="shared" si="102"/>
        <v>0</v>
      </c>
      <c r="AF415" s="66">
        <f t="shared" si="102"/>
        <v>0</v>
      </c>
      <c r="AG415" s="61">
        <f t="shared" si="102"/>
        <v>11</v>
      </c>
      <c r="AH415" s="66">
        <f t="shared" si="102"/>
        <v>50</v>
      </c>
      <c r="AI415" s="66">
        <f t="shared" si="102"/>
        <v>8</v>
      </c>
      <c r="AJ415" s="66">
        <f t="shared" si="102"/>
        <v>7</v>
      </c>
      <c r="AK415" s="66">
        <f t="shared" si="102"/>
        <v>0</v>
      </c>
      <c r="AL415" s="61">
        <f t="shared" si="102"/>
        <v>65</v>
      </c>
      <c r="AM415" s="68">
        <f t="shared" si="96"/>
        <v>646</v>
      </c>
    </row>
    <row r="416" spans="1:39" x14ac:dyDescent="0.35">
      <c r="A416" s="66" t="s">
        <v>369</v>
      </c>
      <c r="B416" s="67">
        <v>10</v>
      </c>
      <c r="C416" s="66"/>
      <c r="D416" s="66">
        <f>SUM(D415,D410, D405)</f>
        <v>504</v>
      </c>
      <c r="E416" s="66">
        <f t="shared" ref="E416:AL416" si="103">SUM(E415,E410,E405)</f>
        <v>41</v>
      </c>
      <c r="F416" s="66">
        <f t="shared" si="103"/>
        <v>8</v>
      </c>
      <c r="G416" s="66">
        <f t="shared" si="103"/>
        <v>3</v>
      </c>
      <c r="H416" s="61">
        <f t="shared" si="103"/>
        <v>556</v>
      </c>
      <c r="I416" s="66">
        <f t="shared" si="103"/>
        <v>39</v>
      </c>
      <c r="J416" s="66">
        <f t="shared" si="103"/>
        <v>8</v>
      </c>
      <c r="K416" s="66">
        <f t="shared" si="103"/>
        <v>2</v>
      </c>
      <c r="L416" s="66">
        <f t="shared" si="103"/>
        <v>0</v>
      </c>
      <c r="M416" s="61">
        <f t="shared" si="103"/>
        <v>49</v>
      </c>
      <c r="N416" s="66">
        <f t="shared" si="103"/>
        <v>25</v>
      </c>
      <c r="O416" s="66">
        <f t="shared" si="103"/>
        <v>10</v>
      </c>
      <c r="P416" s="66">
        <f t="shared" si="103"/>
        <v>1</v>
      </c>
      <c r="Q416" s="66">
        <f t="shared" si="103"/>
        <v>0</v>
      </c>
      <c r="R416" s="61">
        <f t="shared" si="103"/>
        <v>36</v>
      </c>
      <c r="S416" s="66">
        <f t="shared" si="103"/>
        <v>0</v>
      </c>
      <c r="T416" s="66">
        <f t="shared" si="103"/>
        <v>0</v>
      </c>
      <c r="U416" s="66">
        <f t="shared" si="103"/>
        <v>0</v>
      </c>
      <c r="V416" s="66">
        <f t="shared" si="103"/>
        <v>0</v>
      </c>
      <c r="W416" s="61">
        <f t="shared" si="103"/>
        <v>0</v>
      </c>
      <c r="X416" s="66">
        <f t="shared" si="103"/>
        <v>0</v>
      </c>
      <c r="Y416" s="66">
        <f t="shared" si="103"/>
        <v>0</v>
      </c>
      <c r="Z416" s="66">
        <f t="shared" si="103"/>
        <v>0</v>
      </c>
      <c r="AA416" s="66">
        <f t="shared" si="103"/>
        <v>0</v>
      </c>
      <c r="AB416" s="61">
        <f t="shared" si="103"/>
        <v>0</v>
      </c>
      <c r="AC416" s="66">
        <f t="shared" si="103"/>
        <v>14</v>
      </c>
      <c r="AD416" s="66">
        <f t="shared" si="103"/>
        <v>0</v>
      </c>
      <c r="AE416" s="66">
        <f t="shared" si="103"/>
        <v>0</v>
      </c>
      <c r="AF416" s="66">
        <f t="shared" si="103"/>
        <v>0</v>
      </c>
      <c r="AG416" s="61">
        <f t="shared" si="103"/>
        <v>14</v>
      </c>
      <c r="AH416" s="66">
        <f t="shared" si="103"/>
        <v>79</v>
      </c>
      <c r="AI416" s="66">
        <f t="shared" si="103"/>
        <v>20</v>
      </c>
      <c r="AJ416" s="66">
        <f t="shared" si="103"/>
        <v>7</v>
      </c>
      <c r="AK416" s="66">
        <f t="shared" si="103"/>
        <v>0</v>
      </c>
      <c r="AL416" s="61">
        <f t="shared" si="103"/>
        <v>106</v>
      </c>
      <c r="AM416" s="68">
        <f t="shared" si="96"/>
        <v>761</v>
      </c>
    </row>
    <row r="417" spans="1:39" hidden="1" x14ac:dyDescent="0.35">
      <c r="A417" s="59" t="s">
        <v>374</v>
      </c>
      <c r="B417" s="54" t="s">
        <v>368</v>
      </c>
      <c r="C417" s="60" t="s">
        <v>225</v>
      </c>
      <c r="D417" s="60"/>
      <c r="E417" s="60"/>
      <c r="F417" s="60"/>
      <c r="G417" s="60"/>
      <c r="H417" s="61">
        <f>SUM(D417:G417)</f>
        <v>0</v>
      </c>
      <c r="I417" s="60"/>
      <c r="J417" s="60"/>
      <c r="K417" s="60"/>
      <c r="L417" s="60"/>
      <c r="M417" s="61">
        <f>SUM(I417:L417)</f>
        <v>0</v>
      </c>
      <c r="N417" s="60"/>
      <c r="O417" s="60"/>
      <c r="P417" s="60"/>
      <c r="Q417" s="60"/>
      <c r="R417" s="61">
        <f>SUM(N417:Q417)</f>
        <v>0</v>
      </c>
      <c r="S417" s="60"/>
      <c r="T417" s="60"/>
      <c r="U417" s="60"/>
      <c r="V417" s="60"/>
      <c r="W417" s="61">
        <f>SUM(S417:V417)</f>
        <v>0</v>
      </c>
      <c r="X417" s="60"/>
      <c r="Y417" s="60"/>
      <c r="Z417" s="60"/>
      <c r="AA417" s="60"/>
      <c r="AB417" s="61">
        <f>SUM(X417:AA417)</f>
        <v>0</v>
      </c>
      <c r="AC417" s="60"/>
      <c r="AD417" s="60"/>
      <c r="AE417" s="60"/>
      <c r="AF417" s="60"/>
      <c r="AG417" s="61">
        <f>SUM(AC417:AF417)</f>
        <v>0</v>
      </c>
      <c r="AH417" s="60"/>
      <c r="AI417" s="60"/>
      <c r="AJ417" s="60"/>
      <c r="AK417" s="60"/>
      <c r="AL417" s="61">
        <f>SUM(AH417:AK417)</f>
        <v>0</v>
      </c>
      <c r="AM417" s="68">
        <f t="shared" si="96"/>
        <v>0</v>
      </c>
    </row>
    <row r="418" spans="1:39" hidden="1" x14ac:dyDescent="0.35">
      <c r="A418" s="111" t="s">
        <v>254</v>
      </c>
      <c r="B418" s="54"/>
      <c r="C418" s="63" t="s">
        <v>227</v>
      </c>
      <c r="D418" s="63"/>
      <c r="E418" s="63"/>
      <c r="F418" s="63"/>
      <c r="G418" s="63"/>
      <c r="H418" s="61">
        <f>SUM(D418:G418)</f>
        <v>0</v>
      </c>
      <c r="I418" s="63"/>
      <c r="J418" s="63"/>
      <c r="K418" s="63"/>
      <c r="L418" s="63"/>
      <c r="M418" s="61">
        <f>SUM(I418:L418)</f>
        <v>0</v>
      </c>
      <c r="N418" s="63"/>
      <c r="O418" s="63"/>
      <c r="P418" s="63"/>
      <c r="Q418" s="63"/>
      <c r="R418" s="61">
        <f>SUM(N418:Q418)</f>
        <v>0</v>
      </c>
      <c r="S418" s="63"/>
      <c r="T418" s="63"/>
      <c r="U418" s="63"/>
      <c r="V418" s="63"/>
      <c r="W418" s="61">
        <f>SUM(S418:V418)</f>
        <v>0</v>
      </c>
      <c r="X418" s="63"/>
      <c r="Y418" s="63"/>
      <c r="Z418" s="63"/>
      <c r="AA418" s="63"/>
      <c r="AB418" s="61">
        <f>SUM(X418:AA418)</f>
        <v>0</v>
      </c>
      <c r="AC418" s="63"/>
      <c r="AD418" s="63"/>
      <c r="AE418" s="63"/>
      <c r="AF418" s="63"/>
      <c r="AG418" s="61">
        <f>SUM(AC418:AF418)</f>
        <v>0</v>
      </c>
      <c r="AH418" s="63"/>
      <c r="AI418" s="63"/>
      <c r="AJ418" s="63"/>
      <c r="AK418" s="63"/>
      <c r="AL418" s="61">
        <f>SUM(AH418:AK418)</f>
        <v>0</v>
      </c>
      <c r="AM418" s="68">
        <f t="shared" si="96"/>
        <v>0</v>
      </c>
    </row>
    <row r="419" spans="1:39" hidden="1" x14ac:dyDescent="0.35">
      <c r="A419" s="111"/>
      <c r="B419" s="54"/>
      <c r="C419" s="60" t="s">
        <v>228</v>
      </c>
      <c r="D419" s="60"/>
      <c r="E419" s="60"/>
      <c r="F419" s="60"/>
      <c r="G419" s="60"/>
      <c r="H419" s="61">
        <f>SUM(D419:G419)</f>
        <v>0</v>
      </c>
      <c r="I419" s="60"/>
      <c r="J419" s="60"/>
      <c r="K419" s="60"/>
      <c r="L419" s="60"/>
      <c r="M419" s="61">
        <f>SUM(I419:L419)</f>
        <v>0</v>
      </c>
      <c r="N419" s="60"/>
      <c r="O419" s="60"/>
      <c r="P419" s="60"/>
      <c r="Q419" s="60"/>
      <c r="R419" s="61">
        <f>SUM(N419:Q419)</f>
        <v>0</v>
      </c>
      <c r="S419" s="60"/>
      <c r="T419" s="60"/>
      <c r="U419" s="60"/>
      <c r="V419" s="60"/>
      <c r="W419" s="61">
        <f>SUM(S419:V419)</f>
        <v>0</v>
      </c>
      <c r="X419" s="60"/>
      <c r="Y419" s="60"/>
      <c r="Z419" s="60"/>
      <c r="AA419" s="60"/>
      <c r="AB419" s="61">
        <f>SUM(X419:AA419)</f>
        <v>0</v>
      </c>
      <c r="AC419" s="60"/>
      <c r="AD419" s="60"/>
      <c r="AE419" s="60"/>
      <c r="AF419" s="60"/>
      <c r="AG419" s="61">
        <f>SUM(AC419:AF419)</f>
        <v>0</v>
      </c>
      <c r="AH419" s="60"/>
      <c r="AI419" s="60"/>
      <c r="AJ419" s="60"/>
      <c r="AK419" s="60"/>
      <c r="AL419" s="61">
        <f>SUM(AH419:AK419)</f>
        <v>0</v>
      </c>
      <c r="AM419" s="68">
        <f t="shared" si="96"/>
        <v>0</v>
      </c>
    </row>
    <row r="420" spans="1:39" hidden="1" x14ac:dyDescent="0.35">
      <c r="A420" s="111"/>
      <c r="B420" s="54"/>
      <c r="C420" s="63" t="s">
        <v>235</v>
      </c>
      <c r="D420" s="63"/>
      <c r="E420" s="63"/>
      <c r="F420" s="63"/>
      <c r="G420" s="63"/>
      <c r="H420" s="61">
        <f>SUM(D420:G420)</f>
        <v>0</v>
      </c>
      <c r="I420" s="63"/>
      <c r="J420" s="63"/>
      <c r="K420" s="63"/>
      <c r="L420" s="63"/>
      <c r="M420" s="61">
        <f>SUM(I420:L420)</f>
        <v>0</v>
      </c>
      <c r="N420" s="63"/>
      <c r="O420" s="63"/>
      <c r="P420" s="63"/>
      <c r="Q420" s="63"/>
      <c r="R420" s="61">
        <f>SUM(N420:Q420)</f>
        <v>0</v>
      </c>
      <c r="S420" s="63"/>
      <c r="T420" s="63"/>
      <c r="U420" s="63"/>
      <c r="V420" s="63"/>
      <c r="W420" s="61">
        <f>SUM(S420:V420)</f>
        <v>0</v>
      </c>
      <c r="X420" s="63"/>
      <c r="Y420" s="63"/>
      <c r="Z420" s="63"/>
      <c r="AA420" s="63"/>
      <c r="AB420" s="61">
        <f>SUM(X420:AA420)</f>
        <v>0</v>
      </c>
      <c r="AC420" s="63"/>
      <c r="AD420" s="63"/>
      <c r="AE420" s="63"/>
      <c r="AF420" s="63"/>
      <c r="AG420" s="61">
        <f>SUM(AC420:AF420)</f>
        <v>0</v>
      </c>
      <c r="AH420" s="63"/>
      <c r="AI420" s="63"/>
      <c r="AJ420" s="63"/>
      <c r="AK420" s="63"/>
      <c r="AL420" s="61">
        <f>SUM(AH420:AK420)</f>
        <v>0</v>
      </c>
      <c r="AM420" s="68">
        <f t="shared" si="96"/>
        <v>0</v>
      </c>
    </row>
    <row r="421" spans="1:39" x14ac:dyDescent="0.35">
      <c r="A421" s="66" t="s">
        <v>374</v>
      </c>
      <c r="B421" s="67" t="s">
        <v>368</v>
      </c>
      <c r="C421" s="66"/>
      <c r="D421" s="66">
        <f t="shared" ref="D421:AL421" si="104">SUM(D417:D420)</f>
        <v>0</v>
      </c>
      <c r="E421" s="66">
        <f t="shared" si="104"/>
        <v>0</v>
      </c>
      <c r="F421" s="66">
        <f t="shared" si="104"/>
        <v>0</v>
      </c>
      <c r="G421" s="66">
        <f t="shared" si="104"/>
        <v>0</v>
      </c>
      <c r="H421" s="61">
        <f t="shared" si="104"/>
        <v>0</v>
      </c>
      <c r="I421" s="66">
        <f t="shared" si="104"/>
        <v>0</v>
      </c>
      <c r="J421" s="66">
        <f t="shared" si="104"/>
        <v>0</v>
      </c>
      <c r="K421" s="66">
        <f t="shared" si="104"/>
        <v>0</v>
      </c>
      <c r="L421" s="66">
        <f t="shared" si="104"/>
        <v>0</v>
      </c>
      <c r="M421" s="61">
        <f t="shared" si="104"/>
        <v>0</v>
      </c>
      <c r="N421" s="66">
        <f t="shared" si="104"/>
        <v>0</v>
      </c>
      <c r="O421" s="66">
        <f t="shared" si="104"/>
        <v>0</v>
      </c>
      <c r="P421" s="66">
        <f t="shared" si="104"/>
        <v>0</v>
      </c>
      <c r="Q421" s="66">
        <f t="shared" si="104"/>
        <v>0</v>
      </c>
      <c r="R421" s="61">
        <f t="shared" si="104"/>
        <v>0</v>
      </c>
      <c r="S421" s="66">
        <f t="shared" si="104"/>
        <v>0</v>
      </c>
      <c r="T421" s="66">
        <f t="shared" si="104"/>
        <v>0</v>
      </c>
      <c r="U421" s="66">
        <f t="shared" si="104"/>
        <v>0</v>
      </c>
      <c r="V421" s="66">
        <f t="shared" si="104"/>
        <v>0</v>
      </c>
      <c r="W421" s="61">
        <f t="shared" si="104"/>
        <v>0</v>
      </c>
      <c r="X421" s="66">
        <f t="shared" si="104"/>
        <v>0</v>
      </c>
      <c r="Y421" s="66">
        <f t="shared" si="104"/>
        <v>0</v>
      </c>
      <c r="Z421" s="66">
        <f t="shared" si="104"/>
        <v>0</v>
      </c>
      <c r="AA421" s="66">
        <f t="shared" si="104"/>
        <v>0</v>
      </c>
      <c r="AB421" s="61">
        <f t="shared" si="104"/>
        <v>0</v>
      </c>
      <c r="AC421" s="66">
        <f t="shared" si="104"/>
        <v>0</v>
      </c>
      <c r="AD421" s="66">
        <f t="shared" si="104"/>
        <v>0</v>
      </c>
      <c r="AE421" s="66">
        <f t="shared" si="104"/>
        <v>0</v>
      </c>
      <c r="AF421" s="66">
        <f t="shared" si="104"/>
        <v>0</v>
      </c>
      <c r="AG421" s="61">
        <f t="shared" si="104"/>
        <v>0</v>
      </c>
      <c r="AH421" s="66">
        <f t="shared" si="104"/>
        <v>0</v>
      </c>
      <c r="AI421" s="66">
        <f t="shared" si="104"/>
        <v>0</v>
      </c>
      <c r="AJ421" s="66">
        <f t="shared" si="104"/>
        <v>0</v>
      </c>
      <c r="AK421" s="66">
        <f t="shared" si="104"/>
        <v>0</v>
      </c>
      <c r="AL421" s="61">
        <f t="shared" si="104"/>
        <v>0</v>
      </c>
      <c r="AM421" s="68">
        <f t="shared" si="96"/>
        <v>0</v>
      </c>
    </row>
    <row r="422" spans="1:39" hidden="1" x14ac:dyDescent="0.35">
      <c r="A422" s="59" t="s">
        <v>375</v>
      </c>
      <c r="B422" s="54">
        <v>8</v>
      </c>
      <c r="C422" s="60" t="s">
        <v>225</v>
      </c>
      <c r="D422" s="60">
        <v>8</v>
      </c>
      <c r="E422" s="60"/>
      <c r="F422" s="60"/>
      <c r="G422" s="60"/>
      <c r="H422" s="61">
        <f>SUM(D422:G422)</f>
        <v>8</v>
      </c>
      <c r="I422" s="60"/>
      <c r="J422" s="60"/>
      <c r="K422" s="60"/>
      <c r="L422" s="60"/>
      <c r="M422" s="61">
        <f>SUM(I422:L422)</f>
        <v>0</v>
      </c>
      <c r="N422" s="60">
        <v>2</v>
      </c>
      <c r="O422" s="60"/>
      <c r="P422" s="60"/>
      <c r="Q422" s="60"/>
      <c r="R422" s="61">
        <f>SUM(N422:Q422)</f>
        <v>2</v>
      </c>
      <c r="S422" s="60"/>
      <c r="T422" s="60"/>
      <c r="U422" s="60"/>
      <c r="V422" s="60"/>
      <c r="W422" s="61">
        <f>SUM(S422:V422)</f>
        <v>0</v>
      </c>
      <c r="X422" s="60"/>
      <c r="Y422" s="60"/>
      <c r="Z422" s="60"/>
      <c r="AA422" s="60"/>
      <c r="AB422" s="61">
        <f>SUM(X422:AA422)</f>
        <v>0</v>
      </c>
      <c r="AC422" s="60"/>
      <c r="AD422" s="60"/>
      <c r="AE422" s="60"/>
      <c r="AF422" s="60"/>
      <c r="AG422" s="61">
        <f>SUM(AC422:AF422)</f>
        <v>0</v>
      </c>
      <c r="AH422" s="60"/>
      <c r="AI422" s="60"/>
      <c r="AJ422" s="60"/>
      <c r="AK422" s="60"/>
      <c r="AL422" s="61">
        <f>SUM(AH422:AK422)</f>
        <v>0</v>
      </c>
      <c r="AM422" s="68">
        <f t="shared" si="96"/>
        <v>10</v>
      </c>
    </row>
    <row r="423" spans="1:39" hidden="1" x14ac:dyDescent="0.35">
      <c r="A423" s="111" t="s">
        <v>376</v>
      </c>
      <c r="B423" s="54"/>
      <c r="C423" s="63" t="s">
        <v>227</v>
      </c>
      <c r="D423" s="63">
        <v>3</v>
      </c>
      <c r="E423" s="63"/>
      <c r="F423" s="63"/>
      <c r="G423" s="63"/>
      <c r="H423" s="61">
        <f>SUM(D423:G423)</f>
        <v>3</v>
      </c>
      <c r="I423" s="63"/>
      <c r="J423" s="63"/>
      <c r="K423" s="63"/>
      <c r="L423" s="63"/>
      <c r="M423" s="61">
        <f>SUM(I423:L423)</f>
        <v>0</v>
      </c>
      <c r="N423" s="63"/>
      <c r="O423" s="63"/>
      <c r="P423" s="63"/>
      <c r="Q423" s="63"/>
      <c r="R423" s="61">
        <f>SUM(N423:Q423)</f>
        <v>0</v>
      </c>
      <c r="S423" s="63"/>
      <c r="T423" s="63"/>
      <c r="U423" s="63"/>
      <c r="V423" s="63"/>
      <c r="W423" s="61">
        <f>SUM(S423:V423)</f>
        <v>0</v>
      </c>
      <c r="X423" s="63"/>
      <c r="Y423" s="63"/>
      <c r="Z423" s="63"/>
      <c r="AA423" s="63"/>
      <c r="AB423" s="61">
        <f>SUM(X423:AA423)</f>
        <v>0</v>
      </c>
      <c r="AC423" s="63"/>
      <c r="AD423" s="63"/>
      <c r="AE423" s="63"/>
      <c r="AF423" s="63"/>
      <c r="AG423" s="61">
        <f>SUM(AC423:AF423)</f>
        <v>0</v>
      </c>
      <c r="AH423" s="63"/>
      <c r="AI423" s="63"/>
      <c r="AJ423" s="63"/>
      <c r="AK423" s="63"/>
      <c r="AL423" s="61">
        <f>SUM(AH423:AK423)</f>
        <v>0</v>
      </c>
      <c r="AM423" s="68">
        <f t="shared" si="96"/>
        <v>3</v>
      </c>
    </row>
    <row r="424" spans="1:39" hidden="1" x14ac:dyDescent="0.35">
      <c r="A424" s="111"/>
      <c r="B424" s="54"/>
      <c r="C424" s="60" t="s">
        <v>228</v>
      </c>
      <c r="D424" s="60">
        <v>7</v>
      </c>
      <c r="E424" s="60"/>
      <c r="F424" s="60"/>
      <c r="G424" s="60"/>
      <c r="H424" s="61">
        <f>SUM(D424:G424)</f>
        <v>7</v>
      </c>
      <c r="I424" s="60"/>
      <c r="J424" s="60"/>
      <c r="K424" s="60"/>
      <c r="L424" s="60"/>
      <c r="M424" s="61">
        <f>SUM(I424:L424)</f>
        <v>0</v>
      </c>
      <c r="N424" s="60">
        <v>2</v>
      </c>
      <c r="O424" s="60"/>
      <c r="P424" s="60"/>
      <c r="Q424" s="60"/>
      <c r="R424" s="61">
        <f>SUM(N424:Q424)</f>
        <v>2</v>
      </c>
      <c r="S424" s="60"/>
      <c r="T424" s="60"/>
      <c r="U424" s="60"/>
      <c r="V424" s="60"/>
      <c r="W424" s="61">
        <f>SUM(S424:V424)</f>
        <v>0</v>
      </c>
      <c r="X424" s="60"/>
      <c r="Y424" s="60"/>
      <c r="Z424" s="60"/>
      <c r="AA424" s="60"/>
      <c r="AB424" s="61">
        <f>SUM(X424:AA424)</f>
        <v>0</v>
      </c>
      <c r="AC424" s="60"/>
      <c r="AD424" s="60"/>
      <c r="AE424" s="60"/>
      <c r="AF424" s="60"/>
      <c r="AG424" s="61">
        <f>SUM(AC424:AF424)</f>
        <v>0</v>
      </c>
      <c r="AH424" s="60"/>
      <c r="AI424" s="60"/>
      <c r="AJ424" s="60"/>
      <c r="AK424" s="60"/>
      <c r="AL424" s="61">
        <f>SUM(AH424:AK424)</f>
        <v>0</v>
      </c>
      <c r="AM424" s="68">
        <f t="shared" ref="AM424:AM455" si="105">SUM(H424,M424,R424,W424,AB424,AG424,AL424)</f>
        <v>9</v>
      </c>
    </row>
    <row r="425" spans="1:39" hidden="1" x14ac:dyDescent="0.35">
      <c r="A425" s="111"/>
      <c r="B425" s="54"/>
      <c r="C425" s="63" t="s">
        <v>235</v>
      </c>
      <c r="D425" s="63">
        <v>8</v>
      </c>
      <c r="E425" s="63"/>
      <c r="F425" s="63"/>
      <c r="G425" s="63"/>
      <c r="H425" s="61">
        <f>SUM(D425:G425)</f>
        <v>8</v>
      </c>
      <c r="I425" s="63"/>
      <c r="J425" s="63"/>
      <c r="K425" s="63"/>
      <c r="L425" s="63"/>
      <c r="M425" s="61">
        <f>SUM(I425:L425)</f>
        <v>0</v>
      </c>
      <c r="N425" s="63"/>
      <c r="O425" s="63"/>
      <c r="P425" s="63"/>
      <c r="Q425" s="63"/>
      <c r="R425" s="61">
        <f>SUM(N425:Q425)</f>
        <v>0</v>
      </c>
      <c r="S425" s="63"/>
      <c r="T425" s="63"/>
      <c r="U425" s="63"/>
      <c r="V425" s="63"/>
      <c r="W425" s="61">
        <f>SUM(S425:V425)</f>
        <v>0</v>
      </c>
      <c r="X425" s="63"/>
      <c r="Y425" s="63"/>
      <c r="Z425" s="63"/>
      <c r="AA425" s="63"/>
      <c r="AB425" s="61">
        <f>SUM(X425:AA425)</f>
        <v>0</v>
      </c>
      <c r="AC425" s="63"/>
      <c r="AD425" s="63"/>
      <c r="AE425" s="63"/>
      <c r="AF425" s="63"/>
      <c r="AG425" s="61">
        <f>SUM(AC425:AF425)</f>
        <v>0</v>
      </c>
      <c r="AH425" s="63"/>
      <c r="AI425" s="63"/>
      <c r="AJ425" s="63"/>
      <c r="AK425" s="63"/>
      <c r="AL425" s="61">
        <f>SUM(AH425:AK425)</f>
        <v>0</v>
      </c>
      <c r="AM425" s="68">
        <f t="shared" si="105"/>
        <v>8</v>
      </c>
    </row>
    <row r="426" spans="1:39" x14ac:dyDescent="0.35">
      <c r="A426" s="66" t="s">
        <v>375</v>
      </c>
      <c r="B426" s="67">
        <v>8</v>
      </c>
      <c r="C426" s="66"/>
      <c r="D426" s="66">
        <f t="shared" ref="D426:AL426" si="106">SUM(D422:D425)</f>
        <v>26</v>
      </c>
      <c r="E426" s="66">
        <f t="shared" si="106"/>
        <v>0</v>
      </c>
      <c r="F426" s="66">
        <f t="shared" si="106"/>
        <v>0</v>
      </c>
      <c r="G426" s="66">
        <f t="shared" si="106"/>
        <v>0</v>
      </c>
      <c r="H426" s="61">
        <f t="shared" si="106"/>
        <v>26</v>
      </c>
      <c r="I426" s="66">
        <f t="shared" si="106"/>
        <v>0</v>
      </c>
      <c r="J426" s="66">
        <f t="shared" si="106"/>
        <v>0</v>
      </c>
      <c r="K426" s="66">
        <f t="shared" si="106"/>
        <v>0</v>
      </c>
      <c r="L426" s="66">
        <f t="shared" si="106"/>
        <v>0</v>
      </c>
      <c r="M426" s="61">
        <f t="shared" si="106"/>
        <v>0</v>
      </c>
      <c r="N426" s="66">
        <f t="shared" si="106"/>
        <v>4</v>
      </c>
      <c r="O426" s="66">
        <f t="shared" si="106"/>
        <v>0</v>
      </c>
      <c r="P426" s="66">
        <f t="shared" si="106"/>
        <v>0</v>
      </c>
      <c r="Q426" s="66">
        <f t="shared" si="106"/>
        <v>0</v>
      </c>
      <c r="R426" s="61">
        <f t="shared" si="106"/>
        <v>4</v>
      </c>
      <c r="S426" s="66">
        <f t="shared" si="106"/>
        <v>0</v>
      </c>
      <c r="T426" s="66">
        <f t="shared" si="106"/>
        <v>0</v>
      </c>
      <c r="U426" s="66">
        <f t="shared" si="106"/>
        <v>0</v>
      </c>
      <c r="V426" s="66">
        <f t="shared" si="106"/>
        <v>0</v>
      </c>
      <c r="W426" s="61">
        <f t="shared" si="106"/>
        <v>0</v>
      </c>
      <c r="X426" s="66">
        <f t="shared" si="106"/>
        <v>0</v>
      </c>
      <c r="Y426" s="66">
        <f t="shared" si="106"/>
        <v>0</v>
      </c>
      <c r="Z426" s="66">
        <f t="shared" si="106"/>
        <v>0</v>
      </c>
      <c r="AA426" s="66">
        <f t="shared" si="106"/>
        <v>0</v>
      </c>
      <c r="AB426" s="61">
        <f t="shared" si="106"/>
        <v>0</v>
      </c>
      <c r="AC426" s="66">
        <f t="shared" si="106"/>
        <v>0</v>
      </c>
      <c r="AD426" s="66">
        <f t="shared" si="106"/>
        <v>0</v>
      </c>
      <c r="AE426" s="66">
        <f t="shared" si="106"/>
        <v>0</v>
      </c>
      <c r="AF426" s="66">
        <f t="shared" si="106"/>
        <v>0</v>
      </c>
      <c r="AG426" s="61">
        <f t="shared" si="106"/>
        <v>0</v>
      </c>
      <c r="AH426" s="66">
        <f t="shared" si="106"/>
        <v>0</v>
      </c>
      <c r="AI426" s="66">
        <f t="shared" si="106"/>
        <v>0</v>
      </c>
      <c r="AJ426" s="66">
        <f t="shared" si="106"/>
        <v>0</v>
      </c>
      <c r="AK426" s="66">
        <f t="shared" si="106"/>
        <v>0</v>
      </c>
      <c r="AL426" s="61">
        <f t="shared" si="106"/>
        <v>0</v>
      </c>
      <c r="AM426" s="68">
        <f t="shared" si="105"/>
        <v>30</v>
      </c>
    </row>
    <row r="427" spans="1:39" hidden="1" x14ac:dyDescent="0.35">
      <c r="A427" s="59" t="s">
        <v>377</v>
      </c>
      <c r="B427" s="54">
        <v>23</v>
      </c>
      <c r="C427" s="60" t="s">
        <v>225</v>
      </c>
      <c r="D427" s="60">
        <v>2</v>
      </c>
      <c r="E427" s="60"/>
      <c r="F427" s="60"/>
      <c r="G427" s="60"/>
      <c r="H427" s="61">
        <f>SUM(D427:G427)</f>
        <v>2</v>
      </c>
      <c r="I427" s="60"/>
      <c r="J427" s="60"/>
      <c r="K427" s="60"/>
      <c r="L427" s="60"/>
      <c r="M427" s="61">
        <f>SUM(I427:L427)</f>
        <v>0</v>
      </c>
      <c r="N427" s="60">
        <v>2</v>
      </c>
      <c r="O427" s="60"/>
      <c r="P427" s="60"/>
      <c r="Q427" s="60"/>
      <c r="R427" s="61">
        <f>SUM(N427:Q427)</f>
        <v>2</v>
      </c>
      <c r="S427" s="60"/>
      <c r="T427" s="60"/>
      <c r="U427" s="60"/>
      <c r="V427" s="60"/>
      <c r="W427" s="61">
        <f>SUM(S427:V427)</f>
        <v>0</v>
      </c>
      <c r="X427" s="60"/>
      <c r="Y427" s="60"/>
      <c r="Z427" s="60"/>
      <c r="AA427" s="60"/>
      <c r="AB427" s="61">
        <f>SUM(X427:AA427)</f>
        <v>0</v>
      </c>
      <c r="AC427" s="60"/>
      <c r="AD427" s="60"/>
      <c r="AE427" s="60"/>
      <c r="AF427" s="60"/>
      <c r="AG427" s="61">
        <f>SUM(AC427:AF427)</f>
        <v>0</v>
      </c>
      <c r="AH427" s="60"/>
      <c r="AI427" s="60"/>
      <c r="AJ427" s="60"/>
      <c r="AK427" s="60"/>
      <c r="AL427" s="61">
        <f>SUM(AH427:AK427)</f>
        <v>0</v>
      </c>
      <c r="AM427" s="68">
        <f t="shared" si="105"/>
        <v>4</v>
      </c>
    </row>
    <row r="428" spans="1:39" hidden="1" x14ac:dyDescent="0.35">
      <c r="A428" s="111" t="s">
        <v>245</v>
      </c>
      <c r="B428" s="54"/>
      <c r="C428" s="63" t="s">
        <v>227</v>
      </c>
      <c r="D428" s="63">
        <v>2</v>
      </c>
      <c r="E428" s="63"/>
      <c r="F428" s="63"/>
      <c r="G428" s="63"/>
      <c r="H428" s="61">
        <f>SUM(D428:G428)</f>
        <v>2</v>
      </c>
      <c r="I428" s="63"/>
      <c r="J428" s="63"/>
      <c r="K428" s="63"/>
      <c r="L428" s="63"/>
      <c r="M428" s="61">
        <f>SUM(I428:L428)</f>
        <v>0</v>
      </c>
      <c r="N428" s="63"/>
      <c r="O428" s="63"/>
      <c r="P428" s="63"/>
      <c r="Q428" s="63"/>
      <c r="R428" s="61">
        <f>SUM(N428:Q428)</f>
        <v>0</v>
      </c>
      <c r="S428" s="63"/>
      <c r="T428" s="63"/>
      <c r="U428" s="63"/>
      <c r="V428" s="63"/>
      <c r="W428" s="61">
        <f>SUM(S428:V428)</f>
        <v>0</v>
      </c>
      <c r="X428" s="63"/>
      <c r="Y428" s="63"/>
      <c r="Z428" s="63"/>
      <c r="AA428" s="63"/>
      <c r="AB428" s="61">
        <f>SUM(X428:AA428)</f>
        <v>0</v>
      </c>
      <c r="AC428" s="63"/>
      <c r="AD428" s="63"/>
      <c r="AE428" s="63"/>
      <c r="AF428" s="63"/>
      <c r="AG428" s="61">
        <f>SUM(AC428:AF428)</f>
        <v>0</v>
      </c>
      <c r="AH428" s="63"/>
      <c r="AI428" s="63"/>
      <c r="AJ428" s="63"/>
      <c r="AK428" s="63"/>
      <c r="AL428" s="61">
        <f>SUM(AH428:AK428)</f>
        <v>0</v>
      </c>
      <c r="AM428" s="68">
        <f t="shared" si="105"/>
        <v>2</v>
      </c>
    </row>
    <row r="429" spans="1:39" hidden="1" x14ac:dyDescent="0.35">
      <c r="A429" s="111"/>
      <c r="B429" s="54"/>
      <c r="C429" s="60" t="s">
        <v>228</v>
      </c>
      <c r="D429" s="60">
        <v>1</v>
      </c>
      <c r="E429" s="60"/>
      <c r="F429" s="60"/>
      <c r="G429" s="60"/>
      <c r="H429" s="61">
        <f>SUM(D429:G429)</f>
        <v>1</v>
      </c>
      <c r="I429" s="60"/>
      <c r="J429" s="60"/>
      <c r="K429" s="60"/>
      <c r="L429" s="60"/>
      <c r="M429" s="61">
        <f>SUM(I429:L429)</f>
        <v>0</v>
      </c>
      <c r="N429" s="60">
        <v>1</v>
      </c>
      <c r="O429" s="60"/>
      <c r="P429" s="60"/>
      <c r="Q429" s="60"/>
      <c r="R429" s="61">
        <f>SUM(N429:Q429)</f>
        <v>1</v>
      </c>
      <c r="S429" s="60"/>
      <c r="T429" s="60"/>
      <c r="U429" s="60"/>
      <c r="V429" s="60"/>
      <c r="W429" s="61">
        <f>SUM(S429:V429)</f>
        <v>0</v>
      </c>
      <c r="X429" s="60"/>
      <c r="Y429" s="60"/>
      <c r="Z429" s="60"/>
      <c r="AA429" s="60"/>
      <c r="AB429" s="61">
        <f>SUM(X429:AA429)</f>
        <v>0</v>
      </c>
      <c r="AC429" s="60"/>
      <c r="AD429" s="60"/>
      <c r="AE429" s="60"/>
      <c r="AF429" s="60"/>
      <c r="AG429" s="61">
        <f>SUM(AC429:AF429)</f>
        <v>0</v>
      </c>
      <c r="AH429" s="60"/>
      <c r="AI429" s="60"/>
      <c r="AJ429" s="60"/>
      <c r="AK429" s="60"/>
      <c r="AL429" s="61">
        <f>SUM(AH429:AK429)</f>
        <v>0</v>
      </c>
      <c r="AM429" s="68">
        <f t="shared" si="105"/>
        <v>2</v>
      </c>
    </row>
    <row r="430" spans="1:39" hidden="1" x14ac:dyDescent="0.35">
      <c r="A430" s="111"/>
      <c r="B430" s="54"/>
      <c r="C430" s="63" t="s">
        <v>235</v>
      </c>
      <c r="D430" s="63">
        <v>4</v>
      </c>
      <c r="E430" s="63"/>
      <c r="F430" s="63"/>
      <c r="G430" s="63"/>
      <c r="H430" s="61">
        <f>SUM(D430:G430)</f>
        <v>4</v>
      </c>
      <c r="I430" s="63"/>
      <c r="J430" s="63"/>
      <c r="K430" s="63"/>
      <c r="L430" s="63"/>
      <c r="M430" s="61">
        <f>SUM(I430:L430)</f>
        <v>0</v>
      </c>
      <c r="N430" s="63"/>
      <c r="O430" s="63"/>
      <c r="P430" s="63"/>
      <c r="Q430" s="63"/>
      <c r="R430" s="61">
        <f>SUM(N430:Q430)</f>
        <v>0</v>
      </c>
      <c r="S430" s="63"/>
      <c r="T430" s="63"/>
      <c r="U430" s="63"/>
      <c r="V430" s="63"/>
      <c r="W430" s="61">
        <f>SUM(S430:V430)</f>
        <v>0</v>
      </c>
      <c r="X430" s="63"/>
      <c r="Y430" s="63"/>
      <c r="Z430" s="63"/>
      <c r="AA430" s="63"/>
      <c r="AB430" s="61">
        <f>SUM(X430:AA430)</f>
        <v>0</v>
      </c>
      <c r="AC430" s="63"/>
      <c r="AD430" s="63"/>
      <c r="AE430" s="63"/>
      <c r="AF430" s="63"/>
      <c r="AG430" s="61">
        <f>SUM(AC430:AF430)</f>
        <v>0</v>
      </c>
      <c r="AH430" s="63"/>
      <c r="AI430" s="63"/>
      <c r="AJ430" s="63"/>
      <c r="AK430" s="63"/>
      <c r="AL430" s="61">
        <f>SUM(AH430:AK430)</f>
        <v>0</v>
      </c>
      <c r="AM430" s="68">
        <f t="shared" si="105"/>
        <v>4</v>
      </c>
    </row>
    <row r="431" spans="1:39" x14ac:dyDescent="0.35">
      <c r="A431" s="66" t="s">
        <v>377</v>
      </c>
      <c r="B431" s="67">
        <v>23</v>
      </c>
      <c r="C431" s="66"/>
      <c r="D431" s="66">
        <f t="shared" ref="D431:AL431" si="107">SUM(D427:D430)</f>
        <v>9</v>
      </c>
      <c r="E431" s="66">
        <f t="shared" si="107"/>
        <v>0</v>
      </c>
      <c r="F431" s="66">
        <f t="shared" si="107"/>
        <v>0</v>
      </c>
      <c r="G431" s="66">
        <f t="shared" si="107"/>
        <v>0</v>
      </c>
      <c r="H431" s="61">
        <f t="shared" si="107"/>
        <v>9</v>
      </c>
      <c r="I431" s="66">
        <f t="shared" si="107"/>
        <v>0</v>
      </c>
      <c r="J431" s="66">
        <f t="shared" si="107"/>
        <v>0</v>
      </c>
      <c r="K431" s="66">
        <f t="shared" si="107"/>
        <v>0</v>
      </c>
      <c r="L431" s="66">
        <f t="shared" si="107"/>
        <v>0</v>
      </c>
      <c r="M431" s="61">
        <f t="shared" si="107"/>
        <v>0</v>
      </c>
      <c r="N431" s="66">
        <f t="shared" si="107"/>
        <v>3</v>
      </c>
      <c r="O431" s="66">
        <f t="shared" si="107"/>
        <v>0</v>
      </c>
      <c r="P431" s="66">
        <f t="shared" si="107"/>
        <v>0</v>
      </c>
      <c r="Q431" s="66">
        <f t="shared" si="107"/>
        <v>0</v>
      </c>
      <c r="R431" s="61">
        <f t="shared" si="107"/>
        <v>3</v>
      </c>
      <c r="S431" s="66">
        <f t="shared" si="107"/>
        <v>0</v>
      </c>
      <c r="T431" s="66">
        <f t="shared" si="107"/>
        <v>0</v>
      </c>
      <c r="U431" s="66">
        <f t="shared" si="107"/>
        <v>0</v>
      </c>
      <c r="V431" s="66">
        <f t="shared" si="107"/>
        <v>0</v>
      </c>
      <c r="W431" s="61">
        <f t="shared" si="107"/>
        <v>0</v>
      </c>
      <c r="X431" s="66">
        <f t="shared" si="107"/>
        <v>0</v>
      </c>
      <c r="Y431" s="66">
        <f t="shared" si="107"/>
        <v>0</v>
      </c>
      <c r="Z431" s="66">
        <f t="shared" si="107"/>
        <v>0</v>
      </c>
      <c r="AA431" s="66">
        <f t="shared" si="107"/>
        <v>0</v>
      </c>
      <c r="AB431" s="61">
        <f t="shared" si="107"/>
        <v>0</v>
      </c>
      <c r="AC431" s="66">
        <f t="shared" si="107"/>
        <v>0</v>
      </c>
      <c r="AD431" s="66">
        <f t="shared" si="107"/>
        <v>0</v>
      </c>
      <c r="AE431" s="66">
        <f t="shared" si="107"/>
        <v>0</v>
      </c>
      <c r="AF431" s="66">
        <f t="shared" si="107"/>
        <v>0</v>
      </c>
      <c r="AG431" s="61">
        <f t="shared" si="107"/>
        <v>0</v>
      </c>
      <c r="AH431" s="66">
        <f t="shared" si="107"/>
        <v>0</v>
      </c>
      <c r="AI431" s="66">
        <f t="shared" si="107"/>
        <v>0</v>
      </c>
      <c r="AJ431" s="66">
        <f t="shared" si="107"/>
        <v>0</v>
      </c>
      <c r="AK431" s="66">
        <f t="shared" si="107"/>
        <v>0</v>
      </c>
      <c r="AL431" s="61">
        <f t="shared" si="107"/>
        <v>0</v>
      </c>
      <c r="AM431" s="68">
        <f t="shared" si="105"/>
        <v>12</v>
      </c>
    </row>
    <row r="432" spans="1:39" hidden="1" x14ac:dyDescent="0.35">
      <c r="A432" s="59" t="s">
        <v>378</v>
      </c>
      <c r="B432" s="54">
        <v>7</v>
      </c>
      <c r="C432" s="60" t="s">
        <v>225</v>
      </c>
      <c r="D432" s="60"/>
      <c r="E432" s="60"/>
      <c r="F432" s="60"/>
      <c r="G432" s="60"/>
      <c r="H432" s="61">
        <f>SUM(D432:G432)</f>
        <v>0</v>
      </c>
      <c r="I432" s="60"/>
      <c r="J432" s="60"/>
      <c r="K432" s="60"/>
      <c r="L432" s="60"/>
      <c r="M432" s="61">
        <f>SUM(I432:L432)</f>
        <v>0</v>
      </c>
      <c r="N432" s="60"/>
      <c r="O432" s="60"/>
      <c r="P432" s="60"/>
      <c r="Q432" s="60"/>
      <c r="R432" s="61">
        <f>SUM(N432:Q432)</f>
        <v>0</v>
      </c>
      <c r="S432" s="60"/>
      <c r="T432" s="60"/>
      <c r="U432" s="60"/>
      <c r="V432" s="60"/>
      <c r="W432" s="61">
        <f>SUM(S432:V432)</f>
        <v>0</v>
      </c>
      <c r="X432" s="60"/>
      <c r="Y432" s="60"/>
      <c r="Z432" s="60"/>
      <c r="AA432" s="60"/>
      <c r="AB432" s="61">
        <f>SUM(X432:AA432)</f>
        <v>0</v>
      </c>
      <c r="AC432" s="60"/>
      <c r="AD432" s="60"/>
      <c r="AE432" s="60"/>
      <c r="AF432" s="60"/>
      <c r="AG432" s="61">
        <f>SUM(AC432:AF432)</f>
        <v>0</v>
      </c>
      <c r="AH432" s="60"/>
      <c r="AI432" s="60"/>
      <c r="AJ432" s="60"/>
      <c r="AK432" s="60"/>
      <c r="AL432" s="61">
        <f>SUM(AH432:AK432)</f>
        <v>0</v>
      </c>
      <c r="AM432" s="68">
        <f t="shared" si="105"/>
        <v>0</v>
      </c>
    </row>
    <row r="433" spans="1:39" hidden="1" x14ac:dyDescent="0.35">
      <c r="A433" s="111" t="s">
        <v>284</v>
      </c>
      <c r="B433" s="54"/>
      <c r="C433" s="63" t="s">
        <v>227</v>
      </c>
      <c r="D433" s="63"/>
      <c r="E433" s="63"/>
      <c r="F433" s="63"/>
      <c r="G433" s="63"/>
      <c r="H433" s="61">
        <f>SUM(D433:G433)</f>
        <v>0</v>
      </c>
      <c r="I433" s="63"/>
      <c r="J433" s="63"/>
      <c r="K433" s="63"/>
      <c r="L433" s="63"/>
      <c r="M433" s="61">
        <f>SUM(I433:L433)</f>
        <v>0</v>
      </c>
      <c r="N433" s="63"/>
      <c r="O433" s="63"/>
      <c r="P433" s="63"/>
      <c r="Q433" s="63"/>
      <c r="R433" s="61">
        <f>SUM(N433:Q433)</f>
        <v>0</v>
      </c>
      <c r="S433" s="63"/>
      <c r="T433" s="63"/>
      <c r="U433" s="63"/>
      <c r="V433" s="63"/>
      <c r="W433" s="61">
        <f>SUM(S433:V433)</f>
        <v>0</v>
      </c>
      <c r="X433" s="63"/>
      <c r="Y433" s="63"/>
      <c r="Z433" s="63"/>
      <c r="AA433" s="63"/>
      <c r="AB433" s="61">
        <f>SUM(X433:AA433)</f>
        <v>0</v>
      </c>
      <c r="AC433" s="63"/>
      <c r="AD433" s="63"/>
      <c r="AE433" s="63"/>
      <c r="AF433" s="63"/>
      <c r="AG433" s="61">
        <f>SUM(AC433:AF433)</f>
        <v>0</v>
      </c>
      <c r="AH433" s="63"/>
      <c r="AI433" s="63"/>
      <c r="AJ433" s="63"/>
      <c r="AK433" s="63"/>
      <c r="AL433" s="61">
        <f>SUM(AH433:AK433)</f>
        <v>0</v>
      </c>
      <c r="AM433" s="68">
        <f t="shared" si="105"/>
        <v>0</v>
      </c>
    </row>
    <row r="434" spans="1:39" hidden="1" x14ac:dyDescent="0.35">
      <c r="A434" s="111"/>
      <c r="B434" s="54"/>
      <c r="C434" s="60" t="s">
        <v>228</v>
      </c>
      <c r="D434" s="60"/>
      <c r="E434" s="60"/>
      <c r="F434" s="60"/>
      <c r="G434" s="60"/>
      <c r="H434" s="61">
        <f>SUM(D434:G434)</f>
        <v>0</v>
      </c>
      <c r="I434" s="60"/>
      <c r="J434" s="60"/>
      <c r="K434" s="60"/>
      <c r="L434" s="60"/>
      <c r="M434" s="61">
        <f>SUM(I434:L434)</f>
        <v>0</v>
      </c>
      <c r="N434" s="60"/>
      <c r="O434" s="60"/>
      <c r="P434" s="60"/>
      <c r="Q434" s="60"/>
      <c r="R434" s="61">
        <f>SUM(N434:Q434)</f>
        <v>0</v>
      </c>
      <c r="S434" s="60"/>
      <c r="T434" s="60"/>
      <c r="U434" s="60"/>
      <c r="V434" s="60"/>
      <c r="W434" s="61">
        <f>SUM(S434:V434)</f>
        <v>0</v>
      </c>
      <c r="X434" s="60"/>
      <c r="Y434" s="60"/>
      <c r="Z434" s="60"/>
      <c r="AA434" s="60"/>
      <c r="AB434" s="61">
        <f>SUM(X434:AA434)</f>
        <v>0</v>
      </c>
      <c r="AC434" s="60"/>
      <c r="AD434" s="60"/>
      <c r="AE434" s="60"/>
      <c r="AF434" s="60"/>
      <c r="AG434" s="61">
        <f>SUM(AC434:AF434)</f>
        <v>0</v>
      </c>
      <c r="AH434" s="60"/>
      <c r="AI434" s="60"/>
      <c r="AJ434" s="60"/>
      <c r="AK434" s="60"/>
      <c r="AL434" s="61">
        <f>SUM(AH434:AK434)</f>
        <v>0</v>
      </c>
      <c r="AM434" s="68">
        <f t="shared" si="105"/>
        <v>0</v>
      </c>
    </row>
    <row r="435" spans="1:39" hidden="1" x14ac:dyDescent="0.35">
      <c r="A435" s="111"/>
      <c r="B435" s="54"/>
      <c r="C435" s="63" t="s">
        <v>235</v>
      </c>
      <c r="D435" s="63"/>
      <c r="E435" s="63"/>
      <c r="F435" s="63"/>
      <c r="G435" s="63"/>
      <c r="H435" s="61">
        <f>SUM(D435:G435)</f>
        <v>0</v>
      </c>
      <c r="I435" s="63"/>
      <c r="J435" s="63"/>
      <c r="K435" s="63"/>
      <c r="L435" s="63"/>
      <c r="M435" s="61">
        <f>SUM(I435:L435)</f>
        <v>0</v>
      </c>
      <c r="N435" s="63">
        <v>1</v>
      </c>
      <c r="O435" s="63"/>
      <c r="P435" s="63"/>
      <c r="Q435" s="63"/>
      <c r="R435" s="61">
        <f>SUM(N435:Q435)</f>
        <v>1</v>
      </c>
      <c r="S435" s="63"/>
      <c r="T435" s="63"/>
      <c r="U435" s="63"/>
      <c r="V435" s="63"/>
      <c r="W435" s="61">
        <f>SUM(S435:V435)</f>
        <v>0</v>
      </c>
      <c r="X435" s="63"/>
      <c r="Y435" s="63"/>
      <c r="Z435" s="63"/>
      <c r="AA435" s="63"/>
      <c r="AB435" s="61">
        <f>SUM(X435:AA435)</f>
        <v>0</v>
      </c>
      <c r="AC435" s="63"/>
      <c r="AD435" s="63"/>
      <c r="AE435" s="63"/>
      <c r="AF435" s="63"/>
      <c r="AG435" s="61">
        <f>SUM(AC435:AF435)</f>
        <v>0</v>
      </c>
      <c r="AH435" s="63"/>
      <c r="AI435" s="63"/>
      <c r="AJ435" s="63"/>
      <c r="AK435" s="63"/>
      <c r="AL435" s="61">
        <f>SUM(AH435:AK435)</f>
        <v>0</v>
      </c>
      <c r="AM435" s="68">
        <f t="shared" si="105"/>
        <v>1</v>
      </c>
    </row>
    <row r="436" spans="1:39" x14ac:dyDescent="0.35">
      <c r="A436" s="66" t="s">
        <v>378</v>
      </c>
      <c r="B436" s="67">
        <v>7</v>
      </c>
      <c r="C436" s="66"/>
      <c r="D436" s="66">
        <f t="shared" ref="D436:AL436" si="108">SUM(D432:D435)</f>
        <v>0</v>
      </c>
      <c r="E436" s="66">
        <f t="shared" si="108"/>
        <v>0</v>
      </c>
      <c r="F436" s="66">
        <f t="shared" si="108"/>
        <v>0</v>
      </c>
      <c r="G436" s="66">
        <f t="shared" si="108"/>
        <v>0</v>
      </c>
      <c r="H436" s="61">
        <f t="shared" si="108"/>
        <v>0</v>
      </c>
      <c r="I436" s="66">
        <f t="shared" si="108"/>
        <v>0</v>
      </c>
      <c r="J436" s="66">
        <f t="shared" si="108"/>
        <v>0</v>
      </c>
      <c r="K436" s="66">
        <f t="shared" si="108"/>
        <v>0</v>
      </c>
      <c r="L436" s="66">
        <f t="shared" si="108"/>
        <v>0</v>
      </c>
      <c r="M436" s="61">
        <f t="shared" si="108"/>
        <v>0</v>
      </c>
      <c r="N436" s="66">
        <f t="shared" si="108"/>
        <v>1</v>
      </c>
      <c r="O436" s="66">
        <f t="shared" si="108"/>
        <v>0</v>
      </c>
      <c r="P436" s="66">
        <f t="shared" si="108"/>
        <v>0</v>
      </c>
      <c r="Q436" s="66">
        <f t="shared" si="108"/>
        <v>0</v>
      </c>
      <c r="R436" s="61">
        <f t="shared" si="108"/>
        <v>1</v>
      </c>
      <c r="S436" s="66">
        <f t="shared" si="108"/>
        <v>0</v>
      </c>
      <c r="T436" s="66">
        <f t="shared" si="108"/>
        <v>0</v>
      </c>
      <c r="U436" s="66">
        <f t="shared" si="108"/>
        <v>0</v>
      </c>
      <c r="V436" s="66">
        <f t="shared" si="108"/>
        <v>0</v>
      </c>
      <c r="W436" s="61">
        <f t="shared" si="108"/>
        <v>0</v>
      </c>
      <c r="X436" s="66">
        <f t="shared" si="108"/>
        <v>0</v>
      </c>
      <c r="Y436" s="66">
        <f t="shared" si="108"/>
        <v>0</v>
      </c>
      <c r="Z436" s="66">
        <f t="shared" si="108"/>
        <v>0</v>
      </c>
      <c r="AA436" s="66">
        <f t="shared" si="108"/>
        <v>0</v>
      </c>
      <c r="AB436" s="61">
        <f t="shared" si="108"/>
        <v>0</v>
      </c>
      <c r="AC436" s="66">
        <f t="shared" si="108"/>
        <v>0</v>
      </c>
      <c r="AD436" s="66">
        <f t="shared" si="108"/>
        <v>0</v>
      </c>
      <c r="AE436" s="66">
        <f t="shared" si="108"/>
        <v>0</v>
      </c>
      <c r="AF436" s="66">
        <f t="shared" si="108"/>
        <v>0</v>
      </c>
      <c r="AG436" s="61">
        <f t="shared" si="108"/>
        <v>0</v>
      </c>
      <c r="AH436" s="66">
        <f t="shared" si="108"/>
        <v>0</v>
      </c>
      <c r="AI436" s="66">
        <f t="shared" si="108"/>
        <v>0</v>
      </c>
      <c r="AJ436" s="66">
        <f t="shared" si="108"/>
        <v>0</v>
      </c>
      <c r="AK436" s="66">
        <f t="shared" si="108"/>
        <v>0</v>
      </c>
      <c r="AL436" s="61">
        <f t="shared" si="108"/>
        <v>0</v>
      </c>
      <c r="AM436" s="68">
        <f t="shared" si="105"/>
        <v>1</v>
      </c>
    </row>
    <row r="437" spans="1:39" hidden="1" x14ac:dyDescent="0.35">
      <c r="A437" s="59" t="s">
        <v>379</v>
      </c>
      <c r="B437" s="54">
        <v>23</v>
      </c>
      <c r="C437" s="60" t="s">
        <v>225</v>
      </c>
      <c r="D437" s="60">
        <v>2</v>
      </c>
      <c r="E437" s="60"/>
      <c r="F437" s="60"/>
      <c r="G437" s="60"/>
      <c r="H437" s="61">
        <f>SUM(D437:G437)</f>
        <v>2</v>
      </c>
      <c r="I437" s="60"/>
      <c r="J437" s="60"/>
      <c r="K437" s="60"/>
      <c r="L437" s="60"/>
      <c r="M437" s="61">
        <f>SUM(I437:L437)</f>
        <v>0</v>
      </c>
      <c r="N437" s="60"/>
      <c r="O437" s="60"/>
      <c r="P437" s="60"/>
      <c r="Q437" s="60"/>
      <c r="R437" s="61">
        <f>SUM(N437:Q437)</f>
        <v>0</v>
      </c>
      <c r="S437" s="60"/>
      <c r="T437" s="60"/>
      <c r="U437" s="60"/>
      <c r="V437" s="60"/>
      <c r="W437" s="61">
        <f>SUM(S437:V437)</f>
        <v>0</v>
      </c>
      <c r="X437" s="60"/>
      <c r="Y437" s="60"/>
      <c r="Z437" s="60"/>
      <c r="AA437" s="60"/>
      <c r="AB437" s="61">
        <f>SUM(X437:AA437)</f>
        <v>0</v>
      </c>
      <c r="AC437" s="60"/>
      <c r="AD437" s="60"/>
      <c r="AE437" s="60"/>
      <c r="AF437" s="60"/>
      <c r="AG437" s="61">
        <f>SUM(AC437:AF437)</f>
        <v>0</v>
      </c>
      <c r="AH437" s="60"/>
      <c r="AI437" s="60"/>
      <c r="AJ437" s="60"/>
      <c r="AK437" s="60"/>
      <c r="AL437" s="61">
        <f>SUM(AH437:AK437)</f>
        <v>0</v>
      </c>
      <c r="AM437" s="68">
        <f t="shared" si="105"/>
        <v>2</v>
      </c>
    </row>
    <row r="438" spans="1:39" hidden="1" x14ac:dyDescent="0.35">
      <c r="A438" s="111" t="s">
        <v>380</v>
      </c>
      <c r="B438" s="54"/>
      <c r="C438" s="63" t="s">
        <v>227</v>
      </c>
      <c r="D438" s="63">
        <v>3</v>
      </c>
      <c r="E438" s="63"/>
      <c r="F438" s="63"/>
      <c r="G438" s="63"/>
      <c r="H438" s="61">
        <f>SUM(D438:G438)</f>
        <v>3</v>
      </c>
      <c r="I438" s="63"/>
      <c r="J438" s="63"/>
      <c r="K438" s="63"/>
      <c r="L438" s="63"/>
      <c r="M438" s="61">
        <f>SUM(I438:L438)</f>
        <v>0</v>
      </c>
      <c r="N438" s="63"/>
      <c r="O438" s="63"/>
      <c r="P438" s="63"/>
      <c r="Q438" s="63"/>
      <c r="R438" s="61">
        <f>SUM(N438:Q438)</f>
        <v>0</v>
      </c>
      <c r="S438" s="63"/>
      <c r="T438" s="63"/>
      <c r="U438" s="63"/>
      <c r="V438" s="63"/>
      <c r="W438" s="61">
        <f>SUM(S438:V438)</f>
        <v>0</v>
      </c>
      <c r="X438" s="63"/>
      <c r="Y438" s="63"/>
      <c r="Z438" s="63"/>
      <c r="AA438" s="63"/>
      <c r="AB438" s="61">
        <f>SUM(X438:AA438)</f>
        <v>0</v>
      </c>
      <c r="AC438" s="63"/>
      <c r="AD438" s="63"/>
      <c r="AE438" s="63"/>
      <c r="AF438" s="63"/>
      <c r="AG438" s="61">
        <f>SUM(AC438:AF438)</f>
        <v>0</v>
      </c>
      <c r="AH438" s="63"/>
      <c r="AI438" s="63"/>
      <c r="AJ438" s="63"/>
      <c r="AK438" s="63"/>
      <c r="AL438" s="61">
        <f>SUM(AH438:AK438)</f>
        <v>0</v>
      </c>
      <c r="AM438" s="68">
        <f t="shared" si="105"/>
        <v>3</v>
      </c>
    </row>
    <row r="439" spans="1:39" hidden="1" x14ac:dyDescent="0.35">
      <c r="A439" s="111"/>
      <c r="B439" s="54"/>
      <c r="C439" s="60" t="s">
        <v>228</v>
      </c>
      <c r="D439" s="60">
        <v>4</v>
      </c>
      <c r="E439" s="60"/>
      <c r="F439" s="60"/>
      <c r="G439" s="60"/>
      <c r="H439" s="61">
        <f>SUM(D439:G439)</f>
        <v>4</v>
      </c>
      <c r="I439" s="60"/>
      <c r="J439" s="60"/>
      <c r="K439" s="60"/>
      <c r="L439" s="60"/>
      <c r="M439" s="61">
        <f>SUM(I439:L439)</f>
        <v>0</v>
      </c>
      <c r="N439" s="60"/>
      <c r="O439" s="60"/>
      <c r="P439" s="60"/>
      <c r="Q439" s="60"/>
      <c r="R439" s="61">
        <f>SUM(N439:Q439)</f>
        <v>0</v>
      </c>
      <c r="S439" s="60"/>
      <c r="T439" s="60"/>
      <c r="U439" s="60"/>
      <c r="V439" s="60"/>
      <c r="W439" s="61">
        <f>SUM(S439:V439)</f>
        <v>0</v>
      </c>
      <c r="X439" s="60"/>
      <c r="Y439" s="60"/>
      <c r="Z439" s="60"/>
      <c r="AA439" s="60"/>
      <c r="AB439" s="61">
        <f>SUM(X439:AA439)</f>
        <v>0</v>
      </c>
      <c r="AC439" s="60"/>
      <c r="AD439" s="60"/>
      <c r="AE439" s="60"/>
      <c r="AF439" s="60"/>
      <c r="AG439" s="61">
        <f>SUM(AC439:AF439)</f>
        <v>0</v>
      </c>
      <c r="AH439" s="60"/>
      <c r="AI439" s="60"/>
      <c r="AJ439" s="60"/>
      <c r="AK439" s="60"/>
      <c r="AL439" s="61">
        <f>SUM(AH439:AK439)</f>
        <v>0</v>
      </c>
      <c r="AM439" s="68">
        <f t="shared" si="105"/>
        <v>4</v>
      </c>
    </row>
    <row r="440" spans="1:39" hidden="1" x14ac:dyDescent="0.35">
      <c r="A440" s="111"/>
      <c r="B440" s="54"/>
      <c r="C440" s="63" t="s">
        <v>235</v>
      </c>
      <c r="D440" s="63">
        <v>6</v>
      </c>
      <c r="E440" s="63"/>
      <c r="F440" s="63"/>
      <c r="G440" s="63"/>
      <c r="H440" s="61">
        <f>SUM(D440:G440)</f>
        <v>6</v>
      </c>
      <c r="I440" s="63"/>
      <c r="J440" s="63"/>
      <c r="K440" s="63"/>
      <c r="L440" s="63"/>
      <c r="M440" s="61">
        <f>SUM(I440:L440)</f>
        <v>0</v>
      </c>
      <c r="N440" s="63"/>
      <c r="O440" s="63"/>
      <c r="P440" s="63"/>
      <c r="Q440" s="63"/>
      <c r="R440" s="61">
        <f>SUM(N440:Q440)</f>
        <v>0</v>
      </c>
      <c r="S440" s="63"/>
      <c r="T440" s="63"/>
      <c r="U440" s="63"/>
      <c r="V440" s="63"/>
      <c r="W440" s="61">
        <f>SUM(S440:V440)</f>
        <v>0</v>
      </c>
      <c r="X440" s="63"/>
      <c r="Y440" s="63"/>
      <c r="Z440" s="63"/>
      <c r="AA440" s="63"/>
      <c r="AB440" s="61">
        <f>SUM(X440:AA440)</f>
        <v>0</v>
      </c>
      <c r="AC440" s="63"/>
      <c r="AD440" s="63"/>
      <c r="AE440" s="63"/>
      <c r="AF440" s="63"/>
      <c r="AG440" s="61">
        <f>SUM(AC440:AF440)</f>
        <v>0</v>
      </c>
      <c r="AH440" s="63"/>
      <c r="AI440" s="63"/>
      <c r="AJ440" s="63"/>
      <c r="AK440" s="63"/>
      <c r="AL440" s="61">
        <f>SUM(AH440:AK440)</f>
        <v>0</v>
      </c>
      <c r="AM440" s="68">
        <f t="shared" si="105"/>
        <v>6</v>
      </c>
    </row>
    <row r="441" spans="1:39" x14ac:dyDescent="0.35">
      <c r="A441" s="66" t="s">
        <v>379</v>
      </c>
      <c r="B441" s="67">
        <v>23</v>
      </c>
      <c r="C441" s="66"/>
      <c r="D441" s="66">
        <f t="shared" ref="D441:AL441" si="109">SUM(D437:D440)</f>
        <v>15</v>
      </c>
      <c r="E441" s="66">
        <f t="shared" si="109"/>
        <v>0</v>
      </c>
      <c r="F441" s="66">
        <f t="shared" si="109"/>
        <v>0</v>
      </c>
      <c r="G441" s="66">
        <f t="shared" si="109"/>
        <v>0</v>
      </c>
      <c r="H441" s="61">
        <f t="shared" si="109"/>
        <v>15</v>
      </c>
      <c r="I441" s="66">
        <f t="shared" si="109"/>
        <v>0</v>
      </c>
      <c r="J441" s="66">
        <f t="shared" si="109"/>
        <v>0</v>
      </c>
      <c r="K441" s="66">
        <f t="shared" si="109"/>
        <v>0</v>
      </c>
      <c r="L441" s="66">
        <f t="shared" si="109"/>
        <v>0</v>
      </c>
      <c r="M441" s="61">
        <f t="shared" si="109"/>
        <v>0</v>
      </c>
      <c r="N441" s="66">
        <f t="shared" si="109"/>
        <v>0</v>
      </c>
      <c r="O441" s="66">
        <f t="shared" si="109"/>
        <v>0</v>
      </c>
      <c r="P441" s="66">
        <f t="shared" si="109"/>
        <v>0</v>
      </c>
      <c r="Q441" s="66">
        <f t="shared" si="109"/>
        <v>0</v>
      </c>
      <c r="R441" s="61">
        <f t="shared" si="109"/>
        <v>0</v>
      </c>
      <c r="S441" s="66">
        <f t="shared" si="109"/>
        <v>0</v>
      </c>
      <c r="T441" s="66">
        <f t="shared" si="109"/>
        <v>0</v>
      </c>
      <c r="U441" s="66">
        <f t="shared" si="109"/>
        <v>0</v>
      </c>
      <c r="V441" s="66">
        <f t="shared" si="109"/>
        <v>0</v>
      </c>
      <c r="W441" s="61">
        <f t="shared" si="109"/>
        <v>0</v>
      </c>
      <c r="X441" s="66">
        <f t="shared" si="109"/>
        <v>0</v>
      </c>
      <c r="Y441" s="66">
        <f t="shared" si="109"/>
        <v>0</v>
      </c>
      <c r="Z441" s="66">
        <f t="shared" si="109"/>
        <v>0</v>
      </c>
      <c r="AA441" s="66">
        <f t="shared" si="109"/>
        <v>0</v>
      </c>
      <c r="AB441" s="61">
        <f t="shared" si="109"/>
        <v>0</v>
      </c>
      <c r="AC441" s="66">
        <f t="shared" si="109"/>
        <v>0</v>
      </c>
      <c r="AD441" s="66">
        <f t="shared" si="109"/>
        <v>0</v>
      </c>
      <c r="AE441" s="66">
        <f t="shared" si="109"/>
        <v>0</v>
      </c>
      <c r="AF441" s="66">
        <f t="shared" si="109"/>
        <v>0</v>
      </c>
      <c r="AG441" s="61">
        <f t="shared" si="109"/>
        <v>0</v>
      </c>
      <c r="AH441" s="66">
        <f t="shared" si="109"/>
        <v>0</v>
      </c>
      <c r="AI441" s="66">
        <f t="shared" si="109"/>
        <v>0</v>
      </c>
      <c r="AJ441" s="66">
        <f t="shared" si="109"/>
        <v>0</v>
      </c>
      <c r="AK441" s="66">
        <f t="shared" si="109"/>
        <v>0</v>
      </c>
      <c r="AL441" s="61">
        <f t="shared" si="109"/>
        <v>0</v>
      </c>
      <c r="AM441" s="68">
        <f t="shared" si="105"/>
        <v>15</v>
      </c>
    </row>
    <row r="442" spans="1:39" hidden="1" x14ac:dyDescent="0.35">
      <c r="A442" s="59" t="s">
        <v>381</v>
      </c>
      <c r="B442" s="54">
        <v>24</v>
      </c>
      <c r="C442" s="60" t="s">
        <v>225</v>
      </c>
      <c r="D442" s="60"/>
      <c r="E442" s="60"/>
      <c r="F442" s="60"/>
      <c r="G442" s="60"/>
      <c r="H442" s="61">
        <f>SUM(D442:G442)</f>
        <v>0</v>
      </c>
      <c r="I442" s="60"/>
      <c r="J442" s="60"/>
      <c r="K442" s="60"/>
      <c r="L442" s="60"/>
      <c r="M442" s="61">
        <f>SUM(I442:L442)</f>
        <v>0</v>
      </c>
      <c r="N442" s="60"/>
      <c r="O442" s="60"/>
      <c r="P442" s="60"/>
      <c r="Q442" s="60"/>
      <c r="R442" s="61">
        <f>SUM(N442:Q442)</f>
        <v>0</v>
      </c>
      <c r="S442" s="60"/>
      <c r="T442" s="60"/>
      <c r="U442" s="60"/>
      <c r="V442" s="60"/>
      <c r="W442" s="61">
        <f>SUM(S442:V442)</f>
        <v>0</v>
      </c>
      <c r="X442" s="60"/>
      <c r="Y442" s="60"/>
      <c r="Z442" s="60"/>
      <c r="AA442" s="60"/>
      <c r="AB442" s="61">
        <f>SUM(X442:AA442)</f>
        <v>0</v>
      </c>
      <c r="AC442" s="60"/>
      <c r="AD442" s="60"/>
      <c r="AE442" s="60"/>
      <c r="AF442" s="60"/>
      <c r="AG442" s="61">
        <f>SUM(AC442:AF442)</f>
        <v>0</v>
      </c>
      <c r="AH442" s="60"/>
      <c r="AI442" s="60"/>
      <c r="AJ442" s="60"/>
      <c r="AK442" s="60"/>
      <c r="AL442" s="61">
        <f>SUM(AH442:AK442)</f>
        <v>0</v>
      </c>
      <c r="AM442" s="68">
        <f t="shared" si="105"/>
        <v>0</v>
      </c>
    </row>
    <row r="443" spans="1:39" hidden="1" x14ac:dyDescent="0.35">
      <c r="A443" s="111" t="s">
        <v>318</v>
      </c>
      <c r="B443" s="54"/>
      <c r="C443" s="63" t="s">
        <v>227</v>
      </c>
      <c r="D443" s="63"/>
      <c r="E443" s="63"/>
      <c r="F443" s="63"/>
      <c r="G443" s="63"/>
      <c r="H443" s="61">
        <f>SUM(D443:G443)</f>
        <v>0</v>
      </c>
      <c r="I443" s="63"/>
      <c r="J443" s="63"/>
      <c r="K443" s="63"/>
      <c r="L443" s="63"/>
      <c r="M443" s="61">
        <f>SUM(I443:L443)</f>
        <v>0</v>
      </c>
      <c r="N443" s="63"/>
      <c r="O443" s="63"/>
      <c r="P443" s="63"/>
      <c r="Q443" s="63"/>
      <c r="R443" s="61">
        <f>SUM(N443:Q443)</f>
        <v>0</v>
      </c>
      <c r="S443" s="63"/>
      <c r="T443" s="63"/>
      <c r="U443" s="63"/>
      <c r="V443" s="63"/>
      <c r="W443" s="61">
        <f>SUM(S443:V443)</f>
        <v>0</v>
      </c>
      <c r="X443" s="63"/>
      <c r="Y443" s="63"/>
      <c r="Z443" s="63"/>
      <c r="AA443" s="63"/>
      <c r="AB443" s="61">
        <f>SUM(X443:AA443)</f>
        <v>0</v>
      </c>
      <c r="AC443" s="63"/>
      <c r="AD443" s="63"/>
      <c r="AE443" s="63"/>
      <c r="AF443" s="63"/>
      <c r="AG443" s="61">
        <f>SUM(AC443:AF443)</f>
        <v>0</v>
      </c>
      <c r="AH443" s="63"/>
      <c r="AI443" s="63"/>
      <c r="AJ443" s="63"/>
      <c r="AK443" s="63"/>
      <c r="AL443" s="61">
        <f>SUM(AH443:AK443)</f>
        <v>0</v>
      </c>
      <c r="AM443" s="68">
        <f t="shared" si="105"/>
        <v>0</v>
      </c>
    </row>
    <row r="444" spans="1:39" hidden="1" x14ac:dyDescent="0.35">
      <c r="A444" s="111"/>
      <c r="B444" s="54"/>
      <c r="C444" s="60" t="s">
        <v>228</v>
      </c>
      <c r="D444" s="60">
        <v>1</v>
      </c>
      <c r="E444" s="60"/>
      <c r="F444" s="60"/>
      <c r="G444" s="60"/>
      <c r="H444" s="61">
        <f>SUM(D444:G444)</f>
        <v>1</v>
      </c>
      <c r="I444" s="60"/>
      <c r="J444" s="60"/>
      <c r="K444" s="60"/>
      <c r="L444" s="60"/>
      <c r="M444" s="61">
        <f>SUM(I444:L444)</f>
        <v>0</v>
      </c>
      <c r="N444" s="60"/>
      <c r="O444" s="60"/>
      <c r="P444" s="60"/>
      <c r="Q444" s="60"/>
      <c r="R444" s="61">
        <f>SUM(N444:Q444)</f>
        <v>0</v>
      </c>
      <c r="S444" s="60"/>
      <c r="T444" s="60"/>
      <c r="U444" s="60"/>
      <c r="V444" s="60"/>
      <c r="W444" s="61">
        <f>SUM(S444:V444)</f>
        <v>0</v>
      </c>
      <c r="X444" s="60"/>
      <c r="Y444" s="60"/>
      <c r="Z444" s="60"/>
      <c r="AA444" s="60"/>
      <c r="AB444" s="61">
        <f>SUM(X444:AA444)</f>
        <v>0</v>
      </c>
      <c r="AC444" s="60"/>
      <c r="AD444" s="60"/>
      <c r="AE444" s="60"/>
      <c r="AF444" s="60"/>
      <c r="AG444" s="61">
        <f>SUM(AC444:AF444)</f>
        <v>0</v>
      </c>
      <c r="AH444" s="60"/>
      <c r="AI444" s="60"/>
      <c r="AJ444" s="60"/>
      <c r="AK444" s="60"/>
      <c r="AL444" s="61">
        <f>SUM(AH444:AK444)</f>
        <v>0</v>
      </c>
      <c r="AM444" s="68">
        <f t="shared" si="105"/>
        <v>1</v>
      </c>
    </row>
    <row r="445" spans="1:39" hidden="1" x14ac:dyDescent="0.35">
      <c r="A445" s="111"/>
      <c r="B445" s="54"/>
      <c r="C445" s="63" t="s">
        <v>235</v>
      </c>
      <c r="D445" s="63"/>
      <c r="E445" s="63"/>
      <c r="F445" s="63"/>
      <c r="G445" s="63"/>
      <c r="H445" s="61">
        <f>SUM(D445:G445)</f>
        <v>0</v>
      </c>
      <c r="I445" s="63"/>
      <c r="J445" s="63"/>
      <c r="K445" s="63"/>
      <c r="L445" s="63"/>
      <c r="M445" s="61">
        <f>SUM(I445:L445)</f>
        <v>0</v>
      </c>
      <c r="N445" s="63"/>
      <c r="O445" s="63"/>
      <c r="P445" s="63"/>
      <c r="Q445" s="63"/>
      <c r="R445" s="61">
        <f>SUM(N445:Q445)</f>
        <v>0</v>
      </c>
      <c r="S445" s="63"/>
      <c r="T445" s="63"/>
      <c r="U445" s="63"/>
      <c r="V445" s="63"/>
      <c r="W445" s="61">
        <f>SUM(S445:V445)</f>
        <v>0</v>
      </c>
      <c r="X445" s="63"/>
      <c r="Y445" s="63"/>
      <c r="Z445" s="63"/>
      <c r="AA445" s="63"/>
      <c r="AB445" s="61">
        <f>SUM(X445:AA445)</f>
        <v>0</v>
      </c>
      <c r="AC445" s="63"/>
      <c r="AD445" s="63"/>
      <c r="AE445" s="63"/>
      <c r="AF445" s="63"/>
      <c r="AG445" s="61">
        <f>SUM(AC445:AF445)</f>
        <v>0</v>
      </c>
      <c r="AH445" s="63"/>
      <c r="AI445" s="63"/>
      <c r="AJ445" s="63"/>
      <c r="AK445" s="63"/>
      <c r="AL445" s="61">
        <f>SUM(AH445:AK445)</f>
        <v>0</v>
      </c>
      <c r="AM445" s="68">
        <f t="shared" si="105"/>
        <v>0</v>
      </c>
    </row>
    <row r="446" spans="1:39" x14ac:dyDescent="0.35">
      <c r="A446" s="66" t="s">
        <v>381</v>
      </c>
      <c r="B446" s="67">
        <v>24</v>
      </c>
      <c r="C446" s="66"/>
      <c r="D446" s="66">
        <f t="shared" ref="D446:AL446" si="110">SUM(D442:D445)</f>
        <v>1</v>
      </c>
      <c r="E446" s="66">
        <f t="shared" si="110"/>
        <v>0</v>
      </c>
      <c r="F446" s="66">
        <f t="shared" si="110"/>
        <v>0</v>
      </c>
      <c r="G446" s="66">
        <f t="shared" si="110"/>
        <v>0</v>
      </c>
      <c r="H446" s="61">
        <f t="shared" si="110"/>
        <v>1</v>
      </c>
      <c r="I446" s="66">
        <f t="shared" si="110"/>
        <v>0</v>
      </c>
      <c r="J446" s="66">
        <f t="shared" si="110"/>
        <v>0</v>
      </c>
      <c r="K446" s="66">
        <f t="shared" si="110"/>
        <v>0</v>
      </c>
      <c r="L446" s="66">
        <f t="shared" si="110"/>
        <v>0</v>
      </c>
      <c r="M446" s="61">
        <f t="shared" si="110"/>
        <v>0</v>
      </c>
      <c r="N446" s="66">
        <f t="shared" si="110"/>
        <v>0</v>
      </c>
      <c r="O446" s="66">
        <f t="shared" si="110"/>
        <v>0</v>
      </c>
      <c r="P446" s="66">
        <f t="shared" si="110"/>
        <v>0</v>
      </c>
      <c r="Q446" s="66">
        <f t="shared" si="110"/>
        <v>0</v>
      </c>
      <c r="R446" s="61">
        <f t="shared" si="110"/>
        <v>0</v>
      </c>
      <c r="S446" s="66">
        <f t="shared" si="110"/>
        <v>0</v>
      </c>
      <c r="T446" s="66">
        <f t="shared" si="110"/>
        <v>0</v>
      </c>
      <c r="U446" s="66">
        <f t="shared" si="110"/>
        <v>0</v>
      </c>
      <c r="V446" s="66">
        <f t="shared" si="110"/>
        <v>0</v>
      </c>
      <c r="W446" s="61">
        <f t="shared" si="110"/>
        <v>0</v>
      </c>
      <c r="X446" s="66">
        <f t="shared" si="110"/>
        <v>0</v>
      </c>
      <c r="Y446" s="66">
        <f t="shared" si="110"/>
        <v>0</v>
      </c>
      <c r="Z446" s="66">
        <f t="shared" si="110"/>
        <v>0</v>
      </c>
      <c r="AA446" s="66">
        <f t="shared" si="110"/>
        <v>0</v>
      </c>
      <c r="AB446" s="61">
        <f t="shared" si="110"/>
        <v>0</v>
      </c>
      <c r="AC446" s="66">
        <f t="shared" si="110"/>
        <v>0</v>
      </c>
      <c r="AD446" s="66">
        <f t="shared" si="110"/>
        <v>0</v>
      </c>
      <c r="AE446" s="66">
        <f t="shared" si="110"/>
        <v>0</v>
      </c>
      <c r="AF446" s="66">
        <f t="shared" si="110"/>
        <v>0</v>
      </c>
      <c r="AG446" s="61">
        <f t="shared" si="110"/>
        <v>0</v>
      </c>
      <c r="AH446" s="66">
        <f t="shared" si="110"/>
        <v>0</v>
      </c>
      <c r="AI446" s="66">
        <f t="shared" si="110"/>
        <v>0</v>
      </c>
      <c r="AJ446" s="66">
        <f t="shared" si="110"/>
        <v>0</v>
      </c>
      <c r="AK446" s="66">
        <f t="shared" si="110"/>
        <v>0</v>
      </c>
      <c r="AL446" s="61">
        <f t="shared" si="110"/>
        <v>0</v>
      </c>
      <c r="AM446" s="68">
        <f t="shared" si="105"/>
        <v>1</v>
      </c>
    </row>
  </sheetData>
  <sheetProtection selectLockedCells="1" selectUnlockedCells="1"/>
  <mergeCells count="96">
    <mergeCell ref="A1:C1"/>
    <mergeCell ref="D1:AL1"/>
    <mergeCell ref="D2:H2"/>
    <mergeCell ref="I2:M2"/>
    <mergeCell ref="N2:R2"/>
    <mergeCell ref="S2:W2"/>
    <mergeCell ref="X2:AB2"/>
    <mergeCell ref="AC2:AG2"/>
    <mergeCell ref="AH2:AL2"/>
    <mergeCell ref="A78:A79"/>
    <mergeCell ref="A4:C4"/>
    <mergeCell ref="A6:A7"/>
    <mergeCell ref="A11:A12"/>
    <mergeCell ref="A16:A17"/>
    <mergeCell ref="A21:A22"/>
    <mergeCell ref="A31:A32"/>
    <mergeCell ref="A35:A36"/>
    <mergeCell ref="A42:A43"/>
    <mergeCell ref="A46:A47"/>
    <mergeCell ref="A26:A27"/>
    <mergeCell ref="A53:A54"/>
    <mergeCell ref="A58:A59"/>
    <mergeCell ref="A63:A64"/>
    <mergeCell ref="A68:A69"/>
    <mergeCell ref="A73:A74"/>
    <mergeCell ref="A83:A84"/>
    <mergeCell ref="A151:A153"/>
    <mergeCell ref="A93:A95"/>
    <mergeCell ref="A98:A100"/>
    <mergeCell ref="A102:A105"/>
    <mergeCell ref="A109:A111"/>
    <mergeCell ref="A114:A116"/>
    <mergeCell ref="A119:A121"/>
    <mergeCell ref="A123:A124"/>
    <mergeCell ref="A130:A132"/>
    <mergeCell ref="A88:A89"/>
    <mergeCell ref="A135:A137"/>
    <mergeCell ref="A139:A142"/>
    <mergeCell ref="A146:A148"/>
    <mergeCell ref="A212:A214"/>
    <mergeCell ref="A156:A158"/>
    <mergeCell ref="A161:A163"/>
    <mergeCell ref="A166:A168"/>
    <mergeCell ref="A171:A173"/>
    <mergeCell ref="A176:A178"/>
    <mergeCell ref="A181:A183"/>
    <mergeCell ref="A261:A264"/>
    <mergeCell ref="A186:A188"/>
    <mergeCell ref="A191:A193"/>
    <mergeCell ref="A195:A196"/>
    <mergeCell ref="A200:A201"/>
    <mergeCell ref="A207:A209"/>
    <mergeCell ref="A217:A219"/>
    <mergeCell ref="A222:A224"/>
    <mergeCell ref="A227:A229"/>
    <mergeCell ref="A232:A234"/>
    <mergeCell ref="A237:A239"/>
    <mergeCell ref="A242:A244"/>
    <mergeCell ref="A247:A248"/>
    <mergeCell ref="A252:A254"/>
    <mergeCell ref="A257:A259"/>
    <mergeCell ref="A268:A270"/>
    <mergeCell ref="A334:A336"/>
    <mergeCell ref="A279:A281"/>
    <mergeCell ref="A284:A286"/>
    <mergeCell ref="A289:A291"/>
    <mergeCell ref="A294:A296"/>
    <mergeCell ref="A299:A301"/>
    <mergeCell ref="A304:A306"/>
    <mergeCell ref="A309:A311"/>
    <mergeCell ref="A314:A316"/>
    <mergeCell ref="A272:A275"/>
    <mergeCell ref="A319:A321"/>
    <mergeCell ref="A324:A326"/>
    <mergeCell ref="A329:A331"/>
    <mergeCell ref="A397:A399"/>
    <mergeCell ref="A339:A341"/>
    <mergeCell ref="A343:A346"/>
    <mergeCell ref="A350:A352"/>
    <mergeCell ref="A355:A357"/>
    <mergeCell ref="A361:A363"/>
    <mergeCell ref="A366:A368"/>
    <mergeCell ref="A371:A373"/>
    <mergeCell ref="A376:A378"/>
    <mergeCell ref="A381:A383"/>
    <mergeCell ref="A386:A388"/>
    <mergeCell ref="A390:A393"/>
    <mergeCell ref="A438:A440"/>
    <mergeCell ref="A443:A445"/>
    <mergeCell ref="A402:A404"/>
    <mergeCell ref="A406:A409"/>
    <mergeCell ref="A411:A414"/>
    <mergeCell ref="A418:A420"/>
    <mergeCell ref="A423:A425"/>
    <mergeCell ref="A428:A430"/>
    <mergeCell ref="A433:A43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805-6232-429F-86D3-8D9E1571056F}">
  <dimension ref="A1:AF446"/>
  <sheetViews>
    <sheetView zoomScale="70" zoomScaleNormal="70" workbookViewId="0">
      <pane ySplit="4" topLeftCell="A9" activePane="bottomLeft" state="frozen"/>
      <selection pane="bottomLeft" activeCell="AL230" sqref="AL230"/>
    </sheetView>
  </sheetViews>
  <sheetFormatPr defaultRowHeight="14.5" x14ac:dyDescent="0.35"/>
  <cols>
    <col min="1" max="1" width="32.453125" customWidth="1"/>
    <col min="2" max="3" width="9.7265625" customWidth="1"/>
    <col min="4" max="4" width="3.7265625" customWidth="1"/>
    <col min="5" max="5" width="2.81640625" customWidth="1"/>
    <col min="6" max="6" width="4.1796875" customWidth="1"/>
    <col min="7" max="7" width="5.54296875" customWidth="1"/>
    <col min="8" max="8" width="3.7265625" customWidth="1"/>
    <col min="9" max="9" width="2.81640625" customWidth="1"/>
    <col min="10" max="10" width="4.1796875" customWidth="1"/>
    <col min="11" max="11" width="6" customWidth="1"/>
    <col min="12" max="12" width="3.7265625" customWidth="1"/>
    <col min="13" max="13" width="2.81640625" customWidth="1"/>
    <col min="14" max="14" width="4.1796875" customWidth="1"/>
    <col min="15" max="15" width="5.54296875" customWidth="1"/>
    <col min="16" max="16" width="3.7265625" customWidth="1"/>
    <col min="17" max="17" width="2.81640625" customWidth="1"/>
    <col min="18" max="18" width="4.1796875" customWidth="1"/>
    <col min="19" max="19" width="6" customWidth="1"/>
    <col min="20" max="20" width="5" customWidth="1"/>
    <col min="21" max="21" width="3.81640625" bestFit="1" customWidth="1"/>
    <col min="22" max="22" width="4.1796875" customWidth="1"/>
    <col min="23" max="23" width="6" customWidth="1"/>
    <col min="24" max="24" width="3.7265625" customWidth="1"/>
    <col min="25" max="25" width="3.81640625" bestFit="1" customWidth="1"/>
    <col min="26" max="26" width="4.1796875" customWidth="1"/>
    <col min="27" max="27" width="6" customWidth="1"/>
    <col min="28" max="28" width="3.7265625" customWidth="1"/>
    <col min="29" max="29" width="2.81640625" customWidth="1"/>
    <col min="30" max="30" width="4.1796875" customWidth="1"/>
    <col min="31" max="31" width="5.54296875" customWidth="1"/>
    <col min="32" max="32" width="8.54296875" customWidth="1"/>
  </cols>
  <sheetData>
    <row r="1" spans="1:32" x14ac:dyDescent="0.35">
      <c r="A1" s="131" t="s">
        <v>206</v>
      </c>
      <c r="B1" s="131"/>
      <c r="C1" s="131"/>
      <c r="D1" s="139" t="s">
        <v>415</v>
      </c>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1"/>
    </row>
    <row r="2" spans="1:32" ht="29" x14ac:dyDescent="0.35">
      <c r="A2" s="52" t="s">
        <v>208</v>
      </c>
      <c r="B2" s="53" t="s">
        <v>209</v>
      </c>
      <c r="C2" s="52" t="s">
        <v>210</v>
      </c>
      <c r="D2" s="132" t="s">
        <v>215</v>
      </c>
      <c r="E2" s="133"/>
      <c r="F2" s="133"/>
      <c r="G2" s="134"/>
      <c r="H2" s="118" t="s">
        <v>214</v>
      </c>
      <c r="I2" s="119"/>
      <c r="J2" s="119"/>
      <c r="K2" s="120"/>
      <c r="L2" s="118" t="s">
        <v>414</v>
      </c>
      <c r="M2" s="119"/>
      <c r="N2" s="119"/>
      <c r="O2" s="120"/>
      <c r="P2" s="118" t="s">
        <v>413</v>
      </c>
      <c r="Q2" s="119"/>
      <c r="R2" s="119"/>
      <c r="S2" s="120"/>
      <c r="T2" s="118" t="s">
        <v>412</v>
      </c>
      <c r="U2" s="119"/>
      <c r="V2" s="119"/>
      <c r="W2" s="120"/>
      <c r="X2" s="118" t="s">
        <v>411</v>
      </c>
      <c r="Y2" s="119"/>
      <c r="Z2" s="119"/>
      <c r="AA2" s="120"/>
      <c r="AB2" s="118" t="s">
        <v>410</v>
      </c>
      <c r="AC2" s="119"/>
      <c r="AD2" s="119"/>
      <c r="AE2" s="120"/>
      <c r="AF2" s="52" t="s">
        <v>218</v>
      </c>
    </row>
    <row r="3" spans="1:32" x14ac:dyDescent="0.35">
      <c r="B3" s="54"/>
      <c r="D3" s="55" t="s">
        <v>219</v>
      </c>
      <c r="E3" s="55" t="s">
        <v>220</v>
      </c>
      <c r="F3" s="55" t="s">
        <v>221</v>
      </c>
      <c r="G3" s="56" t="s">
        <v>18</v>
      </c>
      <c r="H3" s="55" t="s">
        <v>219</v>
      </c>
      <c r="I3" s="55" t="s">
        <v>220</v>
      </c>
      <c r="J3" s="55" t="s">
        <v>221</v>
      </c>
      <c r="K3" s="56" t="s">
        <v>222</v>
      </c>
      <c r="L3" s="55" t="s">
        <v>219</v>
      </c>
      <c r="M3" s="55" t="s">
        <v>220</v>
      </c>
      <c r="N3" s="55" t="s">
        <v>221</v>
      </c>
      <c r="O3" s="56" t="s">
        <v>18</v>
      </c>
      <c r="P3" s="55" t="s">
        <v>219</v>
      </c>
      <c r="Q3" s="55" t="s">
        <v>220</v>
      </c>
      <c r="R3" s="55" t="s">
        <v>221</v>
      </c>
      <c r="S3" s="56" t="s">
        <v>222</v>
      </c>
      <c r="T3" s="55" t="s">
        <v>219</v>
      </c>
      <c r="U3" s="55" t="s">
        <v>220</v>
      </c>
      <c r="V3" s="55" t="s">
        <v>221</v>
      </c>
      <c r="W3" s="56" t="s">
        <v>222</v>
      </c>
      <c r="X3" s="55" t="s">
        <v>219</v>
      </c>
      <c r="Y3" s="55" t="s">
        <v>220</v>
      </c>
      <c r="Z3" s="55" t="s">
        <v>221</v>
      </c>
      <c r="AA3" s="56" t="s">
        <v>222</v>
      </c>
      <c r="AB3" s="55" t="s">
        <v>219</v>
      </c>
      <c r="AC3" s="55" t="s">
        <v>220</v>
      </c>
      <c r="AD3" s="55" t="s">
        <v>221</v>
      </c>
      <c r="AE3" s="56" t="s">
        <v>18</v>
      </c>
      <c r="AF3" s="57"/>
    </row>
    <row r="4" spans="1:32" x14ac:dyDescent="0.35">
      <c r="A4" s="121" t="s">
        <v>48</v>
      </c>
      <c r="B4" s="122"/>
      <c r="C4" s="123"/>
      <c r="D4" s="58">
        <f t="shared" ref="D4:AF4" si="0">SUM(D358,D9,D14,D19,D24,D29,D40,D51,D56,D61,D66,D71,D76,D81,D86,D91,D96,D107,D112,D117,D128,D133,D144,D149,D154,D159,D164,D169,D174,D179,D184,D189,D205,D210,D215,D220,D225,D230,D235,D240,D245,D250,D255,D266,D277,D282,D287,D292,D297,D302,D307,D312,D317,D322,D327,D332,D337,D348,D353,D364,D369,D374,D379,D384,D395,D400,D405,D416,D421,D426,D431,D436,D441,D446)</f>
        <v>10</v>
      </c>
      <c r="E4" s="58">
        <f t="shared" si="0"/>
        <v>2</v>
      </c>
      <c r="F4" s="58">
        <f t="shared" si="0"/>
        <v>0</v>
      </c>
      <c r="G4" s="61">
        <f t="shared" si="0"/>
        <v>12</v>
      </c>
      <c r="H4" s="58">
        <f t="shared" si="0"/>
        <v>12</v>
      </c>
      <c r="I4" s="58">
        <f t="shared" si="0"/>
        <v>2</v>
      </c>
      <c r="J4" s="58">
        <f t="shared" si="0"/>
        <v>0</v>
      </c>
      <c r="K4" s="61">
        <f t="shared" si="0"/>
        <v>14</v>
      </c>
      <c r="L4" s="58">
        <f t="shared" si="0"/>
        <v>8</v>
      </c>
      <c r="M4" s="58">
        <f t="shared" si="0"/>
        <v>0</v>
      </c>
      <c r="N4" s="58">
        <f t="shared" si="0"/>
        <v>0</v>
      </c>
      <c r="O4" s="61">
        <f t="shared" si="0"/>
        <v>8</v>
      </c>
      <c r="P4" s="58">
        <f t="shared" si="0"/>
        <v>16</v>
      </c>
      <c r="Q4" s="58">
        <f t="shared" si="0"/>
        <v>0</v>
      </c>
      <c r="R4" s="58">
        <f t="shared" si="0"/>
        <v>1</v>
      </c>
      <c r="S4" s="61">
        <f t="shared" si="0"/>
        <v>17</v>
      </c>
      <c r="T4" s="58">
        <f t="shared" si="0"/>
        <v>367</v>
      </c>
      <c r="U4" s="58">
        <f t="shared" si="0"/>
        <v>33</v>
      </c>
      <c r="V4" s="58">
        <f t="shared" si="0"/>
        <v>8</v>
      </c>
      <c r="W4" s="61">
        <f t="shared" si="0"/>
        <v>408</v>
      </c>
      <c r="X4" s="58">
        <f t="shared" si="0"/>
        <v>83</v>
      </c>
      <c r="Y4" s="58">
        <f t="shared" si="0"/>
        <v>28</v>
      </c>
      <c r="Z4" s="58">
        <f t="shared" si="0"/>
        <v>2</v>
      </c>
      <c r="AA4" s="61">
        <f t="shared" si="0"/>
        <v>113</v>
      </c>
      <c r="AB4" s="58">
        <f t="shared" si="0"/>
        <v>3</v>
      </c>
      <c r="AC4" s="58">
        <f t="shared" si="0"/>
        <v>2</v>
      </c>
      <c r="AD4" s="58">
        <f t="shared" si="0"/>
        <v>0</v>
      </c>
      <c r="AE4" s="61">
        <f t="shared" si="0"/>
        <v>5</v>
      </c>
      <c r="AF4" s="66">
        <f t="shared" si="0"/>
        <v>577</v>
      </c>
    </row>
    <row r="5" spans="1:32" hidden="1" x14ac:dyDescent="0.35">
      <c r="A5" s="59" t="s">
        <v>223</v>
      </c>
      <c r="B5" s="54" t="s">
        <v>224</v>
      </c>
      <c r="C5" s="60" t="s">
        <v>225</v>
      </c>
      <c r="D5" s="60"/>
      <c r="E5" s="60"/>
      <c r="F5" s="60"/>
      <c r="G5" s="61">
        <f>SUM(D5:F5)</f>
        <v>0</v>
      </c>
      <c r="H5" s="60"/>
      <c r="I5" s="60"/>
      <c r="J5" s="60"/>
      <c r="K5" s="61">
        <f>SUM(H5:J5)</f>
        <v>0</v>
      </c>
      <c r="L5" s="60"/>
      <c r="M5" s="60"/>
      <c r="N5" s="60"/>
      <c r="O5" s="61">
        <f>SUM(L5:N5)</f>
        <v>0</v>
      </c>
      <c r="P5" s="60"/>
      <c r="Q5" s="60"/>
      <c r="R5" s="60"/>
      <c r="S5" s="61">
        <f>SUM(P5:R5)</f>
        <v>0</v>
      </c>
      <c r="T5" s="60">
        <v>6</v>
      </c>
      <c r="U5" s="60"/>
      <c r="V5" s="60"/>
      <c r="W5" s="61">
        <f>SUM(T5:V5)</f>
        <v>6</v>
      </c>
      <c r="X5" s="60"/>
      <c r="Y5" s="60"/>
      <c r="Z5" s="60"/>
      <c r="AA5" s="61">
        <f>SUM(X5:Z5)</f>
        <v>0</v>
      </c>
      <c r="AB5" s="60"/>
      <c r="AC5" s="60"/>
      <c r="AD5" s="60"/>
      <c r="AE5" s="61">
        <f>SUM(AB5:AD5)</f>
        <v>0</v>
      </c>
      <c r="AF5" s="68">
        <f t="shared" ref="AF5:AF68" si="1">SUM(G5,K5,O5,S5,W5,AA5,AE5)</f>
        <v>6</v>
      </c>
    </row>
    <row r="6" spans="1:32" hidden="1" x14ac:dyDescent="0.35">
      <c r="A6" s="113" t="s">
        <v>226</v>
      </c>
      <c r="B6" s="54"/>
      <c r="C6" s="63" t="s">
        <v>227</v>
      </c>
      <c r="D6" s="63"/>
      <c r="E6" s="63"/>
      <c r="F6" s="63"/>
      <c r="G6" s="61">
        <f>SUM(D6:F6)</f>
        <v>0</v>
      </c>
      <c r="H6" s="63"/>
      <c r="I6" s="63"/>
      <c r="J6" s="63"/>
      <c r="K6" s="61">
        <f>SUM(H6:J6)</f>
        <v>0</v>
      </c>
      <c r="L6" s="63"/>
      <c r="M6" s="63"/>
      <c r="N6" s="63"/>
      <c r="O6" s="61">
        <f>SUM(L6:N6)</f>
        <v>0</v>
      </c>
      <c r="P6" s="63"/>
      <c r="Q6" s="63"/>
      <c r="R6" s="63"/>
      <c r="S6" s="61">
        <f>SUM(P6:R6)</f>
        <v>0</v>
      </c>
      <c r="T6" s="63">
        <v>9</v>
      </c>
      <c r="U6" s="63"/>
      <c r="V6" s="63"/>
      <c r="W6" s="61">
        <f>SUM(T6:V6)</f>
        <v>9</v>
      </c>
      <c r="X6" s="63"/>
      <c r="Y6" s="63"/>
      <c r="Z6" s="63"/>
      <c r="AA6" s="61">
        <f>SUM(X6:Z6)</f>
        <v>0</v>
      </c>
      <c r="AB6" s="63"/>
      <c r="AC6" s="63"/>
      <c r="AD6" s="63"/>
      <c r="AE6" s="61">
        <f>SUM(AB6:AD6)</f>
        <v>0</v>
      </c>
      <c r="AF6" s="68">
        <f t="shared" si="1"/>
        <v>9</v>
      </c>
    </row>
    <row r="7" spans="1:32" hidden="1" x14ac:dyDescent="0.35">
      <c r="A7" s="113"/>
      <c r="B7" s="54"/>
      <c r="C7" s="60" t="s">
        <v>228</v>
      </c>
      <c r="D7" s="60"/>
      <c r="E7" s="60"/>
      <c r="F7" s="60"/>
      <c r="G7" s="61">
        <f>SUM(D7:F7)</f>
        <v>0</v>
      </c>
      <c r="H7" s="60"/>
      <c r="I7" s="60"/>
      <c r="J7" s="60"/>
      <c r="K7" s="61">
        <f>SUM(H7:J7)</f>
        <v>0</v>
      </c>
      <c r="L7" s="60"/>
      <c r="M7" s="60"/>
      <c r="N7" s="60"/>
      <c r="O7" s="61">
        <f>SUM(L7:N7)</f>
        <v>0</v>
      </c>
      <c r="P7" s="60"/>
      <c r="Q7" s="60"/>
      <c r="R7" s="60"/>
      <c r="S7" s="61">
        <f>SUM(P7:R7)</f>
        <v>0</v>
      </c>
      <c r="T7" s="60">
        <v>5</v>
      </c>
      <c r="U7" s="60"/>
      <c r="V7" s="60"/>
      <c r="W7" s="61">
        <f>SUM(T7:V7)</f>
        <v>5</v>
      </c>
      <c r="X7" s="60"/>
      <c r="Y7" s="60"/>
      <c r="Z7" s="60"/>
      <c r="AA7" s="61">
        <f>SUM(X7:Z7)</f>
        <v>0</v>
      </c>
      <c r="AB7" s="60"/>
      <c r="AC7" s="60"/>
      <c r="AD7" s="60"/>
      <c r="AE7" s="61">
        <f>SUM(AB7:AD7)</f>
        <v>0</v>
      </c>
      <c r="AF7" s="68">
        <f t="shared" si="1"/>
        <v>5</v>
      </c>
    </row>
    <row r="8" spans="1:32" hidden="1" x14ac:dyDescent="0.35">
      <c r="B8" s="54"/>
      <c r="C8" s="63" t="s">
        <v>229</v>
      </c>
      <c r="D8" s="63"/>
      <c r="E8" s="63"/>
      <c r="F8" s="63"/>
      <c r="G8" s="61">
        <f>SUM(D8:F8)</f>
        <v>0</v>
      </c>
      <c r="H8" s="63"/>
      <c r="I8" s="63"/>
      <c r="J8" s="63"/>
      <c r="K8" s="61">
        <f>SUM(H8:J8)</f>
        <v>0</v>
      </c>
      <c r="L8" s="63"/>
      <c r="M8" s="63"/>
      <c r="N8" s="63"/>
      <c r="O8" s="61">
        <f>SUM(L8:N8)</f>
        <v>0</v>
      </c>
      <c r="P8" s="63"/>
      <c r="Q8" s="63"/>
      <c r="R8" s="63"/>
      <c r="S8" s="61">
        <f>SUM(P8:R8)</f>
        <v>0</v>
      </c>
      <c r="T8" s="63">
        <v>5</v>
      </c>
      <c r="U8" s="63"/>
      <c r="V8" s="63"/>
      <c r="W8" s="61">
        <f>SUM(T8:V8)</f>
        <v>5</v>
      </c>
      <c r="X8" s="63"/>
      <c r="Y8" s="63"/>
      <c r="Z8" s="63"/>
      <c r="AA8" s="61">
        <f>SUM(X8:Z8)</f>
        <v>0</v>
      </c>
      <c r="AB8" s="63"/>
      <c r="AC8" s="63"/>
      <c r="AD8" s="63"/>
      <c r="AE8" s="61">
        <f>SUM(AB8:AD8)</f>
        <v>0</v>
      </c>
      <c r="AF8" s="68">
        <f t="shared" si="1"/>
        <v>5</v>
      </c>
    </row>
    <row r="9" spans="1:32" x14ac:dyDescent="0.35">
      <c r="A9" s="66" t="s">
        <v>223</v>
      </c>
      <c r="B9" s="67" t="s">
        <v>224</v>
      </c>
      <c r="C9" s="66"/>
      <c r="D9" s="66">
        <f t="shared" ref="D9:AE9" si="2">SUM(D5:D8)</f>
        <v>0</v>
      </c>
      <c r="E9" s="66">
        <f t="shared" si="2"/>
        <v>0</v>
      </c>
      <c r="F9" s="66">
        <f t="shared" si="2"/>
        <v>0</v>
      </c>
      <c r="G9" s="61">
        <f t="shared" si="2"/>
        <v>0</v>
      </c>
      <c r="H9" s="66">
        <f t="shared" si="2"/>
        <v>0</v>
      </c>
      <c r="I9" s="66">
        <f t="shared" si="2"/>
        <v>0</v>
      </c>
      <c r="J9" s="66">
        <f t="shared" si="2"/>
        <v>0</v>
      </c>
      <c r="K9" s="61">
        <f t="shared" si="2"/>
        <v>0</v>
      </c>
      <c r="L9" s="66">
        <f t="shared" si="2"/>
        <v>0</v>
      </c>
      <c r="M9" s="66">
        <f t="shared" si="2"/>
        <v>0</v>
      </c>
      <c r="N9" s="66">
        <f t="shared" si="2"/>
        <v>0</v>
      </c>
      <c r="O9" s="61">
        <f t="shared" si="2"/>
        <v>0</v>
      </c>
      <c r="P9" s="66">
        <f t="shared" si="2"/>
        <v>0</v>
      </c>
      <c r="Q9" s="66">
        <f t="shared" si="2"/>
        <v>0</v>
      </c>
      <c r="R9" s="66">
        <f t="shared" si="2"/>
        <v>0</v>
      </c>
      <c r="S9" s="61">
        <f t="shared" si="2"/>
        <v>0</v>
      </c>
      <c r="T9" s="66">
        <f t="shared" si="2"/>
        <v>25</v>
      </c>
      <c r="U9" s="66">
        <f t="shared" si="2"/>
        <v>0</v>
      </c>
      <c r="V9" s="66">
        <f t="shared" si="2"/>
        <v>0</v>
      </c>
      <c r="W9" s="61">
        <f t="shared" si="2"/>
        <v>25</v>
      </c>
      <c r="X9" s="66">
        <f t="shared" si="2"/>
        <v>0</v>
      </c>
      <c r="Y9" s="66">
        <f t="shared" si="2"/>
        <v>0</v>
      </c>
      <c r="Z9" s="66">
        <f t="shared" si="2"/>
        <v>0</v>
      </c>
      <c r="AA9" s="61">
        <f t="shared" si="2"/>
        <v>0</v>
      </c>
      <c r="AB9" s="66">
        <f t="shared" si="2"/>
        <v>0</v>
      </c>
      <c r="AC9" s="66">
        <f t="shared" si="2"/>
        <v>0</v>
      </c>
      <c r="AD9" s="66">
        <f t="shared" si="2"/>
        <v>0</v>
      </c>
      <c r="AE9" s="61">
        <f t="shared" si="2"/>
        <v>0</v>
      </c>
      <c r="AF9" s="68">
        <f t="shared" si="1"/>
        <v>25</v>
      </c>
    </row>
    <row r="10" spans="1:32" hidden="1" x14ac:dyDescent="0.35">
      <c r="A10" s="59" t="s">
        <v>230</v>
      </c>
      <c r="B10" s="54">
        <v>23</v>
      </c>
      <c r="C10" s="60" t="s">
        <v>225</v>
      </c>
      <c r="D10" s="60"/>
      <c r="E10" s="60"/>
      <c r="F10" s="60"/>
      <c r="G10" s="61">
        <f>SUM(D10:F10)</f>
        <v>0</v>
      </c>
      <c r="H10" s="60"/>
      <c r="I10" s="60"/>
      <c r="J10" s="60"/>
      <c r="K10" s="61">
        <f>SUM(H10:J10)</f>
        <v>0</v>
      </c>
      <c r="L10" s="60"/>
      <c r="M10" s="60"/>
      <c r="N10" s="60"/>
      <c r="O10" s="61">
        <f>SUM(L10:N10)</f>
        <v>0</v>
      </c>
      <c r="P10" s="60"/>
      <c r="Q10" s="60"/>
      <c r="R10" s="60"/>
      <c r="S10" s="61">
        <f>SUM(P10:R10)</f>
        <v>0</v>
      </c>
      <c r="T10" s="60"/>
      <c r="U10" s="60"/>
      <c r="V10" s="60"/>
      <c r="W10" s="61">
        <f>SUM(T10:V10)</f>
        <v>0</v>
      </c>
      <c r="X10" s="60"/>
      <c r="Y10" s="60"/>
      <c r="Z10" s="60"/>
      <c r="AA10" s="61">
        <f>SUM(X10:Z10)</f>
        <v>0</v>
      </c>
      <c r="AB10" s="60"/>
      <c r="AC10" s="60"/>
      <c r="AD10" s="60"/>
      <c r="AE10" s="61">
        <f>SUM(AB10:AD10)</f>
        <v>0</v>
      </c>
      <c r="AF10" s="68">
        <f t="shared" si="1"/>
        <v>0</v>
      </c>
    </row>
    <row r="11" spans="1:32" hidden="1" x14ac:dyDescent="0.35">
      <c r="A11" s="113" t="s">
        <v>380</v>
      </c>
      <c r="B11" s="54"/>
      <c r="C11" s="63" t="s">
        <v>227</v>
      </c>
      <c r="D11" s="63"/>
      <c r="E11" s="63"/>
      <c r="F11" s="63"/>
      <c r="G11" s="61">
        <f>SUM(D11:F11)</f>
        <v>0</v>
      </c>
      <c r="H11" s="63"/>
      <c r="I11" s="63"/>
      <c r="J11" s="63"/>
      <c r="K11" s="61">
        <f>SUM(H11:J11)</f>
        <v>0</v>
      </c>
      <c r="L11" s="63"/>
      <c r="M11" s="63"/>
      <c r="N11" s="63"/>
      <c r="O11" s="61">
        <f>SUM(L11:N11)</f>
        <v>0</v>
      </c>
      <c r="P11" s="63"/>
      <c r="Q11" s="63"/>
      <c r="R11" s="63"/>
      <c r="S11" s="61">
        <f>SUM(P11:R11)</f>
        <v>0</v>
      </c>
      <c r="T11" s="63"/>
      <c r="U11" s="63"/>
      <c r="V11" s="63"/>
      <c r="W11" s="61">
        <f>SUM(T11:V11)</f>
        <v>0</v>
      </c>
      <c r="X11" s="63"/>
      <c r="Y11" s="63"/>
      <c r="Z11" s="63"/>
      <c r="AA11" s="61">
        <f>SUM(X11:Z11)</f>
        <v>0</v>
      </c>
      <c r="AB11" s="63"/>
      <c r="AC11" s="63"/>
      <c r="AD11" s="63"/>
      <c r="AE11" s="61">
        <f>SUM(AB11:AD11)</f>
        <v>0</v>
      </c>
      <c r="AF11" s="68">
        <f t="shared" si="1"/>
        <v>0</v>
      </c>
    </row>
    <row r="12" spans="1:32" hidden="1" x14ac:dyDescent="0.35">
      <c r="A12" s="113"/>
      <c r="B12" s="54"/>
      <c r="C12" s="60" t="s">
        <v>228</v>
      </c>
      <c r="D12" s="60"/>
      <c r="E12" s="60"/>
      <c r="F12" s="60"/>
      <c r="G12" s="61">
        <f>SUM(D12:F12)</f>
        <v>0</v>
      </c>
      <c r="H12" s="60"/>
      <c r="I12" s="60"/>
      <c r="J12" s="60"/>
      <c r="K12" s="61">
        <f>SUM(H12:J12)</f>
        <v>0</v>
      </c>
      <c r="L12" s="60"/>
      <c r="M12" s="60"/>
      <c r="N12" s="60"/>
      <c r="O12" s="61">
        <f>SUM(L12:N12)</f>
        <v>0</v>
      </c>
      <c r="P12" s="60"/>
      <c r="Q12" s="60"/>
      <c r="R12" s="60"/>
      <c r="S12" s="61">
        <f>SUM(P12:R12)</f>
        <v>0</v>
      </c>
      <c r="T12" s="60"/>
      <c r="U12" s="60"/>
      <c r="V12" s="60"/>
      <c r="W12" s="61">
        <f>SUM(T12:V12)</f>
        <v>0</v>
      </c>
      <c r="X12" s="60"/>
      <c r="Y12" s="60"/>
      <c r="Z12" s="60"/>
      <c r="AA12" s="61">
        <f>SUM(X12:Z12)</f>
        <v>0</v>
      </c>
      <c r="AB12" s="60"/>
      <c r="AC12" s="60"/>
      <c r="AD12" s="60"/>
      <c r="AE12" s="61">
        <f>SUM(AB12:AD12)</f>
        <v>0</v>
      </c>
      <c r="AF12" s="68">
        <f t="shared" si="1"/>
        <v>0</v>
      </c>
    </row>
    <row r="13" spans="1:32" hidden="1" x14ac:dyDescent="0.35">
      <c r="B13" s="54"/>
      <c r="C13" s="69" t="s">
        <v>235</v>
      </c>
      <c r="D13" s="69"/>
      <c r="E13" s="69"/>
      <c r="F13" s="69"/>
      <c r="G13" s="56">
        <f>SUM(D13:F13)</f>
        <v>0</v>
      </c>
      <c r="H13" s="69"/>
      <c r="I13" s="69"/>
      <c r="J13" s="69"/>
      <c r="K13" s="56">
        <f>SUM(H13:J13)</f>
        <v>0</v>
      </c>
      <c r="L13" s="69"/>
      <c r="M13" s="69"/>
      <c r="N13" s="69"/>
      <c r="O13" s="56">
        <f>SUM(L13:N13)</f>
        <v>0</v>
      </c>
      <c r="P13" s="69"/>
      <c r="Q13" s="69"/>
      <c r="R13" s="69"/>
      <c r="S13" s="56">
        <f>SUM(P13:R13)</f>
        <v>0</v>
      </c>
      <c r="T13" s="69"/>
      <c r="U13" s="69"/>
      <c r="V13" s="69"/>
      <c r="W13" s="56">
        <f>SUM(T13:V13)</f>
        <v>0</v>
      </c>
      <c r="X13" s="69"/>
      <c r="Y13" s="69"/>
      <c r="Z13" s="69"/>
      <c r="AA13" s="56">
        <f>SUM(X13:Z13)</f>
        <v>0</v>
      </c>
      <c r="AB13" s="69"/>
      <c r="AC13" s="69"/>
      <c r="AD13" s="69"/>
      <c r="AE13" s="56">
        <f>SUM(AB13:AD13)</f>
        <v>0</v>
      </c>
      <c r="AF13" s="74">
        <f t="shared" si="1"/>
        <v>0</v>
      </c>
    </row>
    <row r="14" spans="1:32" x14ac:dyDescent="0.35">
      <c r="A14" s="66" t="s">
        <v>230</v>
      </c>
      <c r="B14" s="67">
        <v>23</v>
      </c>
      <c r="C14" s="66"/>
      <c r="D14" s="66">
        <f t="shared" ref="D14:AE14" si="3">SUM(D10:D13)</f>
        <v>0</v>
      </c>
      <c r="E14" s="66">
        <f t="shared" si="3"/>
        <v>0</v>
      </c>
      <c r="F14" s="66">
        <f t="shared" si="3"/>
        <v>0</v>
      </c>
      <c r="G14" s="61">
        <f t="shared" si="3"/>
        <v>0</v>
      </c>
      <c r="H14" s="66">
        <f t="shared" si="3"/>
        <v>0</v>
      </c>
      <c r="I14" s="66">
        <f t="shared" si="3"/>
        <v>0</v>
      </c>
      <c r="J14" s="66">
        <f t="shared" si="3"/>
        <v>0</v>
      </c>
      <c r="K14" s="61">
        <f t="shared" si="3"/>
        <v>0</v>
      </c>
      <c r="L14" s="66">
        <f t="shared" si="3"/>
        <v>0</v>
      </c>
      <c r="M14" s="66">
        <f t="shared" si="3"/>
        <v>0</v>
      </c>
      <c r="N14" s="66">
        <f t="shared" si="3"/>
        <v>0</v>
      </c>
      <c r="O14" s="61">
        <f t="shared" si="3"/>
        <v>0</v>
      </c>
      <c r="P14" s="66">
        <f t="shared" si="3"/>
        <v>0</v>
      </c>
      <c r="Q14" s="66">
        <f t="shared" si="3"/>
        <v>0</v>
      </c>
      <c r="R14" s="66">
        <f t="shared" si="3"/>
        <v>0</v>
      </c>
      <c r="S14" s="61">
        <f t="shared" si="3"/>
        <v>0</v>
      </c>
      <c r="T14" s="66">
        <f t="shared" si="3"/>
        <v>0</v>
      </c>
      <c r="U14" s="66">
        <f t="shared" si="3"/>
        <v>0</v>
      </c>
      <c r="V14" s="66">
        <f t="shared" si="3"/>
        <v>0</v>
      </c>
      <c r="W14" s="61">
        <f t="shared" si="3"/>
        <v>0</v>
      </c>
      <c r="X14" s="66">
        <f t="shared" si="3"/>
        <v>0</v>
      </c>
      <c r="Y14" s="66">
        <f t="shared" si="3"/>
        <v>0</v>
      </c>
      <c r="Z14" s="66">
        <f t="shared" si="3"/>
        <v>0</v>
      </c>
      <c r="AA14" s="61">
        <f t="shared" si="3"/>
        <v>0</v>
      </c>
      <c r="AB14" s="66">
        <f t="shared" si="3"/>
        <v>0</v>
      </c>
      <c r="AC14" s="66">
        <f t="shared" si="3"/>
        <v>0</v>
      </c>
      <c r="AD14" s="66">
        <f t="shared" si="3"/>
        <v>0</v>
      </c>
      <c r="AE14" s="61">
        <f t="shared" si="3"/>
        <v>0</v>
      </c>
      <c r="AF14" s="68">
        <f t="shared" si="1"/>
        <v>0</v>
      </c>
    </row>
    <row r="15" spans="1:32" hidden="1" x14ac:dyDescent="0.35">
      <c r="A15" s="59" t="s">
        <v>232</v>
      </c>
      <c r="B15" s="54" t="s">
        <v>233</v>
      </c>
      <c r="C15" s="60" t="s">
        <v>225</v>
      </c>
      <c r="D15" s="60"/>
      <c r="E15" s="60"/>
      <c r="F15" s="60"/>
      <c r="G15" s="61">
        <f>SUM(D15:F15)</f>
        <v>0</v>
      </c>
      <c r="H15" s="60"/>
      <c r="I15" s="60"/>
      <c r="J15" s="60"/>
      <c r="K15" s="61">
        <f>SUM(H15:J15)</f>
        <v>0</v>
      </c>
      <c r="L15" s="60"/>
      <c r="M15" s="60"/>
      <c r="N15" s="60"/>
      <c r="O15" s="61">
        <f>SUM(L15:N15)</f>
        <v>0</v>
      </c>
      <c r="P15" s="60"/>
      <c r="Q15" s="60"/>
      <c r="R15" s="60"/>
      <c r="S15" s="61">
        <f>SUM(P15:R15)</f>
        <v>0</v>
      </c>
      <c r="T15" s="60"/>
      <c r="U15" s="60"/>
      <c r="V15" s="60"/>
      <c r="W15" s="61">
        <f>SUM(T15:V15)</f>
        <v>0</v>
      </c>
      <c r="X15" s="60"/>
      <c r="Y15" s="60"/>
      <c r="Z15" s="60"/>
      <c r="AA15" s="61">
        <f>SUM(X15:Z15)</f>
        <v>0</v>
      </c>
      <c r="AB15" s="60"/>
      <c r="AC15" s="60"/>
      <c r="AD15" s="60"/>
      <c r="AE15" s="61">
        <f>SUM(AB15:AD15)</f>
        <v>0</v>
      </c>
      <c r="AF15" s="68">
        <f t="shared" si="1"/>
        <v>0</v>
      </c>
    </row>
    <row r="16" spans="1:32" hidden="1" x14ac:dyDescent="0.35">
      <c r="A16" s="113" t="s">
        <v>234</v>
      </c>
      <c r="B16" s="54"/>
      <c r="C16" s="63" t="s">
        <v>227</v>
      </c>
      <c r="D16" s="63"/>
      <c r="E16" s="63"/>
      <c r="F16" s="63"/>
      <c r="G16" s="61">
        <f>SUM(D16:F16)</f>
        <v>0</v>
      </c>
      <c r="H16" s="63"/>
      <c r="I16" s="63"/>
      <c r="J16" s="63"/>
      <c r="K16" s="61">
        <f>SUM(H16:J16)</f>
        <v>0</v>
      </c>
      <c r="L16" s="63"/>
      <c r="M16" s="63"/>
      <c r="N16" s="63"/>
      <c r="O16" s="61">
        <f>SUM(L16:N16)</f>
        <v>0</v>
      </c>
      <c r="P16" s="63"/>
      <c r="Q16" s="63"/>
      <c r="R16" s="63"/>
      <c r="S16" s="61">
        <f>SUM(P16:R16)</f>
        <v>0</v>
      </c>
      <c r="T16" s="63"/>
      <c r="U16" s="63"/>
      <c r="V16" s="63"/>
      <c r="W16" s="61">
        <f>SUM(T16:V16)</f>
        <v>0</v>
      </c>
      <c r="X16" s="63"/>
      <c r="Y16" s="63"/>
      <c r="Z16" s="63"/>
      <c r="AA16" s="61">
        <f>SUM(X16:Z16)</f>
        <v>0</v>
      </c>
      <c r="AB16" s="63"/>
      <c r="AC16" s="63"/>
      <c r="AD16" s="63"/>
      <c r="AE16" s="61">
        <f>SUM(AB16:AD16)</f>
        <v>0</v>
      </c>
      <c r="AF16" s="68">
        <f t="shared" si="1"/>
        <v>0</v>
      </c>
    </row>
    <row r="17" spans="1:32" hidden="1" x14ac:dyDescent="0.35">
      <c r="A17" s="113"/>
      <c r="B17" s="54"/>
      <c r="C17" s="60" t="s">
        <v>228</v>
      </c>
      <c r="D17" s="60"/>
      <c r="E17" s="60"/>
      <c r="F17" s="60"/>
      <c r="G17" s="61">
        <f>SUM(D17:F17)</f>
        <v>0</v>
      </c>
      <c r="H17" s="60"/>
      <c r="I17" s="60"/>
      <c r="J17" s="60"/>
      <c r="K17" s="61">
        <f>SUM(H17:J17)</f>
        <v>0</v>
      </c>
      <c r="L17" s="60"/>
      <c r="M17" s="60"/>
      <c r="N17" s="60"/>
      <c r="O17" s="61">
        <f>SUM(L17:N17)</f>
        <v>0</v>
      </c>
      <c r="P17" s="60"/>
      <c r="Q17" s="60"/>
      <c r="R17" s="60"/>
      <c r="S17" s="61">
        <f>SUM(P17:R17)</f>
        <v>0</v>
      </c>
      <c r="T17" s="60"/>
      <c r="U17" s="60"/>
      <c r="V17" s="60"/>
      <c r="W17" s="61">
        <f>SUM(T17:V17)</f>
        <v>0</v>
      </c>
      <c r="X17" s="60"/>
      <c r="Y17" s="60"/>
      <c r="Z17" s="60"/>
      <c r="AA17" s="61">
        <f>SUM(X17:Z17)</f>
        <v>0</v>
      </c>
      <c r="AB17" s="60"/>
      <c r="AC17" s="60"/>
      <c r="AD17" s="60"/>
      <c r="AE17" s="61">
        <f>SUM(AB17:AD17)</f>
        <v>0</v>
      </c>
      <c r="AF17" s="68">
        <f t="shared" si="1"/>
        <v>0</v>
      </c>
    </row>
    <row r="18" spans="1:32" hidden="1" x14ac:dyDescent="0.35">
      <c r="B18" s="54"/>
      <c r="C18" s="69" t="s">
        <v>235</v>
      </c>
      <c r="D18" s="69"/>
      <c r="E18" s="69"/>
      <c r="F18" s="69"/>
      <c r="G18" s="56">
        <f>SUM(D18:F18)</f>
        <v>0</v>
      </c>
      <c r="H18" s="69"/>
      <c r="I18" s="69"/>
      <c r="J18" s="69"/>
      <c r="K18" s="56">
        <f>SUM(H18:J18)</f>
        <v>0</v>
      </c>
      <c r="L18" s="69"/>
      <c r="M18" s="69"/>
      <c r="N18" s="69"/>
      <c r="O18" s="56">
        <f>SUM(L18:N18)</f>
        <v>0</v>
      </c>
      <c r="P18" s="69"/>
      <c r="Q18" s="69"/>
      <c r="R18" s="69"/>
      <c r="S18" s="56">
        <f>SUM(P18:R18)</f>
        <v>0</v>
      </c>
      <c r="T18" s="69"/>
      <c r="U18" s="69"/>
      <c r="V18" s="69"/>
      <c r="W18" s="56">
        <f>SUM(T18:V18)</f>
        <v>0</v>
      </c>
      <c r="X18" s="69"/>
      <c r="Y18" s="69"/>
      <c r="Z18" s="69"/>
      <c r="AA18" s="56">
        <f>SUM(X18:Z18)</f>
        <v>0</v>
      </c>
      <c r="AB18" s="69"/>
      <c r="AC18" s="69"/>
      <c r="AD18" s="69"/>
      <c r="AE18" s="56">
        <f>SUM(AB18:AD18)</f>
        <v>0</v>
      </c>
      <c r="AF18" s="74">
        <f t="shared" si="1"/>
        <v>0</v>
      </c>
    </row>
    <row r="19" spans="1:32" x14ac:dyDescent="0.35">
      <c r="A19" s="66" t="s">
        <v>236</v>
      </c>
      <c r="B19" s="67" t="s">
        <v>233</v>
      </c>
      <c r="C19" s="66"/>
      <c r="D19" s="66">
        <f t="shared" ref="D19:AE19" si="4">SUM(D15:D18)</f>
        <v>0</v>
      </c>
      <c r="E19" s="66">
        <f t="shared" si="4"/>
        <v>0</v>
      </c>
      <c r="F19" s="66">
        <f t="shared" si="4"/>
        <v>0</v>
      </c>
      <c r="G19" s="61">
        <f t="shared" si="4"/>
        <v>0</v>
      </c>
      <c r="H19" s="66">
        <f t="shared" si="4"/>
        <v>0</v>
      </c>
      <c r="I19" s="66">
        <f t="shared" si="4"/>
        <v>0</v>
      </c>
      <c r="J19" s="66">
        <f t="shared" si="4"/>
        <v>0</v>
      </c>
      <c r="K19" s="61">
        <f t="shared" si="4"/>
        <v>0</v>
      </c>
      <c r="L19" s="66">
        <f t="shared" si="4"/>
        <v>0</v>
      </c>
      <c r="M19" s="66">
        <f t="shared" si="4"/>
        <v>0</v>
      </c>
      <c r="N19" s="66">
        <f t="shared" si="4"/>
        <v>0</v>
      </c>
      <c r="O19" s="61">
        <f t="shared" si="4"/>
        <v>0</v>
      </c>
      <c r="P19" s="66">
        <f t="shared" si="4"/>
        <v>0</v>
      </c>
      <c r="Q19" s="66">
        <f t="shared" si="4"/>
        <v>0</v>
      </c>
      <c r="R19" s="66">
        <f t="shared" si="4"/>
        <v>0</v>
      </c>
      <c r="S19" s="61">
        <f t="shared" si="4"/>
        <v>0</v>
      </c>
      <c r="T19" s="66">
        <f t="shared" si="4"/>
        <v>0</v>
      </c>
      <c r="U19" s="66">
        <f t="shared" si="4"/>
        <v>0</v>
      </c>
      <c r="V19" s="66">
        <f t="shared" si="4"/>
        <v>0</v>
      </c>
      <c r="W19" s="61">
        <f t="shared" si="4"/>
        <v>0</v>
      </c>
      <c r="X19" s="66">
        <f t="shared" si="4"/>
        <v>0</v>
      </c>
      <c r="Y19" s="66">
        <f t="shared" si="4"/>
        <v>0</v>
      </c>
      <c r="Z19" s="66">
        <f t="shared" si="4"/>
        <v>0</v>
      </c>
      <c r="AA19" s="61">
        <f t="shared" si="4"/>
        <v>0</v>
      </c>
      <c r="AB19" s="66">
        <f t="shared" si="4"/>
        <v>0</v>
      </c>
      <c r="AC19" s="66">
        <f t="shared" si="4"/>
        <v>0</v>
      </c>
      <c r="AD19" s="66">
        <f t="shared" si="4"/>
        <v>0</v>
      </c>
      <c r="AE19" s="61">
        <f t="shared" si="4"/>
        <v>0</v>
      </c>
      <c r="AF19" s="68">
        <f t="shared" si="1"/>
        <v>0</v>
      </c>
    </row>
    <row r="20" spans="1:32" hidden="1" x14ac:dyDescent="0.35">
      <c r="A20" s="59" t="s">
        <v>237</v>
      </c>
      <c r="B20" s="54">
        <v>13</v>
      </c>
      <c r="C20" s="60" t="s">
        <v>225</v>
      </c>
      <c r="D20" s="60"/>
      <c r="E20" s="60"/>
      <c r="F20" s="60"/>
      <c r="G20" s="61">
        <f>SUM(D20:F20)</f>
        <v>0</v>
      </c>
      <c r="H20" s="60"/>
      <c r="I20" s="60"/>
      <c r="J20" s="60"/>
      <c r="K20" s="61">
        <f>SUM(H20:J20)</f>
        <v>0</v>
      </c>
      <c r="L20" s="60"/>
      <c r="M20" s="60"/>
      <c r="N20" s="60"/>
      <c r="O20" s="61">
        <f>SUM(L20:N20)</f>
        <v>0</v>
      </c>
      <c r="P20" s="60"/>
      <c r="Q20" s="60"/>
      <c r="R20" s="60"/>
      <c r="S20" s="61">
        <f>SUM(P20:R20)</f>
        <v>0</v>
      </c>
      <c r="T20" s="60"/>
      <c r="U20" s="60"/>
      <c r="V20" s="60"/>
      <c r="W20" s="61">
        <f>SUM(T20:V20)</f>
        <v>0</v>
      </c>
      <c r="X20" s="60"/>
      <c r="Y20" s="60"/>
      <c r="Z20" s="60"/>
      <c r="AA20" s="61">
        <f>SUM(X20:Z20)</f>
        <v>0</v>
      </c>
      <c r="AB20" s="60"/>
      <c r="AC20" s="60"/>
      <c r="AD20" s="60"/>
      <c r="AE20" s="61">
        <f>SUM(AB20:AD20)</f>
        <v>0</v>
      </c>
      <c r="AF20" s="68">
        <f t="shared" si="1"/>
        <v>0</v>
      </c>
    </row>
    <row r="21" spans="1:32" hidden="1" x14ac:dyDescent="0.35">
      <c r="A21" s="114" t="s">
        <v>238</v>
      </c>
      <c r="B21" s="54"/>
      <c r="C21" s="63" t="s">
        <v>239</v>
      </c>
      <c r="D21" s="63"/>
      <c r="E21" s="63"/>
      <c r="F21" s="63"/>
      <c r="G21" s="61">
        <f>SUM(D21:F21)</f>
        <v>0</v>
      </c>
      <c r="H21" s="63"/>
      <c r="I21" s="63"/>
      <c r="J21" s="63"/>
      <c r="K21" s="61">
        <f>SUM(H21:J21)</f>
        <v>0</v>
      </c>
      <c r="L21" s="63"/>
      <c r="M21" s="63"/>
      <c r="N21" s="63"/>
      <c r="O21" s="61">
        <f>SUM(L21:N21)</f>
        <v>0</v>
      </c>
      <c r="P21" s="63"/>
      <c r="Q21" s="63"/>
      <c r="R21" s="63"/>
      <c r="S21" s="61">
        <f>SUM(P21:R21)</f>
        <v>0</v>
      </c>
      <c r="T21" s="63"/>
      <c r="U21" s="63"/>
      <c r="V21" s="63"/>
      <c r="W21" s="61">
        <f>SUM(T21:V21)</f>
        <v>0</v>
      </c>
      <c r="X21" s="63"/>
      <c r="Y21" s="63"/>
      <c r="Z21" s="63"/>
      <c r="AA21" s="61">
        <f>SUM(X21:Z21)</f>
        <v>0</v>
      </c>
      <c r="AB21" s="63"/>
      <c r="AC21" s="63"/>
      <c r="AD21" s="63"/>
      <c r="AE21" s="61">
        <f>SUM(AB21:AD21)</f>
        <v>0</v>
      </c>
      <c r="AF21" s="68">
        <f t="shared" si="1"/>
        <v>0</v>
      </c>
    </row>
    <row r="22" spans="1:32" hidden="1" x14ac:dyDescent="0.35">
      <c r="A22" s="114"/>
      <c r="B22" s="54"/>
      <c r="C22" s="60" t="s">
        <v>228</v>
      </c>
      <c r="D22" s="60"/>
      <c r="E22" s="60"/>
      <c r="F22" s="60"/>
      <c r="G22" s="61">
        <f>SUM(D22:F22)</f>
        <v>0</v>
      </c>
      <c r="H22" s="60"/>
      <c r="I22" s="60"/>
      <c r="J22" s="60"/>
      <c r="K22" s="61">
        <f>SUM(H22:J22)</f>
        <v>0</v>
      </c>
      <c r="L22" s="60"/>
      <c r="M22" s="60"/>
      <c r="N22" s="60"/>
      <c r="O22" s="61">
        <f>SUM(L22:N22)</f>
        <v>0</v>
      </c>
      <c r="P22" s="60"/>
      <c r="Q22" s="60"/>
      <c r="R22" s="60"/>
      <c r="S22" s="61">
        <f>SUM(P22:R22)</f>
        <v>0</v>
      </c>
      <c r="T22" s="60"/>
      <c r="U22" s="60"/>
      <c r="V22" s="60"/>
      <c r="W22" s="61">
        <f>SUM(T22:V22)</f>
        <v>0</v>
      </c>
      <c r="X22" s="60"/>
      <c r="Y22" s="60"/>
      <c r="Z22" s="60"/>
      <c r="AA22" s="61">
        <f>SUM(X22:Z22)</f>
        <v>0</v>
      </c>
      <c r="AB22" s="60"/>
      <c r="AC22" s="60"/>
      <c r="AD22" s="60"/>
      <c r="AE22" s="61">
        <f>SUM(AB22:AD22)</f>
        <v>0</v>
      </c>
      <c r="AF22" s="68">
        <f t="shared" si="1"/>
        <v>0</v>
      </c>
    </row>
    <row r="23" spans="1:32" hidden="1" x14ac:dyDescent="0.35">
      <c r="B23" s="54"/>
      <c r="C23" s="63" t="s">
        <v>235</v>
      </c>
      <c r="D23" s="63"/>
      <c r="E23" s="63"/>
      <c r="F23" s="63"/>
      <c r="G23" s="61">
        <f>SUM(D23:F23)</f>
        <v>0</v>
      </c>
      <c r="H23" s="63"/>
      <c r="I23" s="63"/>
      <c r="J23" s="63"/>
      <c r="K23" s="61">
        <f>SUM(H23:J23)</f>
        <v>0</v>
      </c>
      <c r="L23" s="63"/>
      <c r="M23" s="63"/>
      <c r="N23" s="63"/>
      <c r="O23" s="61">
        <f>SUM(L23:N23)</f>
        <v>0</v>
      </c>
      <c r="P23" s="63"/>
      <c r="Q23" s="63"/>
      <c r="R23" s="63"/>
      <c r="S23" s="61">
        <f>SUM(P23:R23)</f>
        <v>0</v>
      </c>
      <c r="T23" s="63"/>
      <c r="U23" s="63"/>
      <c r="V23" s="63"/>
      <c r="W23" s="61">
        <f>SUM(T23:V23)</f>
        <v>0</v>
      </c>
      <c r="X23" s="63"/>
      <c r="Y23" s="63"/>
      <c r="Z23" s="63"/>
      <c r="AA23" s="61">
        <f>SUM(X23:Z23)</f>
        <v>0</v>
      </c>
      <c r="AB23" s="63"/>
      <c r="AC23" s="63"/>
      <c r="AD23" s="63"/>
      <c r="AE23" s="61">
        <f>SUM(AB23:AD23)</f>
        <v>0</v>
      </c>
      <c r="AF23" s="68">
        <f t="shared" si="1"/>
        <v>0</v>
      </c>
    </row>
    <row r="24" spans="1:32" x14ac:dyDescent="0.35">
      <c r="A24" s="66" t="s">
        <v>237</v>
      </c>
      <c r="B24" s="70">
        <v>13</v>
      </c>
      <c r="C24" s="66"/>
      <c r="D24" s="66">
        <f t="shared" ref="D24:AE24" si="5">SUM(D20:D23)</f>
        <v>0</v>
      </c>
      <c r="E24" s="66">
        <f t="shared" si="5"/>
        <v>0</v>
      </c>
      <c r="F24" s="66">
        <f t="shared" si="5"/>
        <v>0</v>
      </c>
      <c r="G24" s="61">
        <f t="shared" si="5"/>
        <v>0</v>
      </c>
      <c r="H24" s="66">
        <f t="shared" si="5"/>
        <v>0</v>
      </c>
      <c r="I24" s="66">
        <f t="shared" si="5"/>
        <v>0</v>
      </c>
      <c r="J24" s="66">
        <f t="shared" si="5"/>
        <v>0</v>
      </c>
      <c r="K24" s="61">
        <f t="shared" si="5"/>
        <v>0</v>
      </c>
      <c r="L24" s="66">
        <f t="shared" si="5"/>
        <v>0</v>
      </c>
      <c r="M24" s="66">
        <f t="shared" si="5"/>
        <v>0</v>
      </c>
      <c r="N24" s="66">
        <f t="shared" si="5"/>
        <v>0</v>
      </c>
      <c r="O24" s="61">
        <f t="shared" si="5"/>
        <v>0</v>
      </c>
      <c r="P24" s="66">
        <f t="shared" si="5"/>
        <v>0</v>
      </c>
      <c r="Q24" s="66">
        <f t="shared" si="5"/>
        <v>0</v>
      </c>
      <c r="R24" s="66">
        <f t="shared" si="5"/>
        <v>0</v>
      </c>
      <c r="S24" s="61">
        <f t="shared" si="5"/>
        <v>0</v>
      </c>
      <c r="T24" s="66">
        <f t="shared" si="5"/>
        <v>0</v>
      </c>
      <c r="U24" s="66">
        <f t="shared" si="5"/>
        <v>0</v>
      </c>
      <c r="V24" s="66">
        <f t="shared" si="5"/>
        <v>0</v>
      </c>
      <c r="W24" s="61">
        <f t="shared" si="5"/>
        <v>0</v>
      </c>
      <c r="X24" s="66">
        <f t="shared" si="5"/>
        <v>0</v>
      </c>
      <c r="Y24" s="66">
        <f t="shared" si="5"/>
        <v>0</v>
      </c>
      <c r="Z24" s="66">
        <f t="shared" si="5"/>
        <v>0</v>
      </c>
      <c r="AA24" s="61">
        <f t="shared" si="5"/>
        <v>0</v>
      </c>
      <c r="AB24" s="66">
        <f t="shared" si="5"/>
        <v>0</v>
      </c>
      <c r="AC24" s="66">
        <f t="shared" si="5"/>
        <v>0</v>
      </c>
      <c r="AD24" s="66">
        <f t="shared" si="5"/>
        <v>0</v>
      </c>
      <c r="AE24" s="61">
        <f t="shared" si="5"/>
        <v>0</v>
      </c>
      <c r="AF24" s="68">
        <f t="shared" si="1"/>
        <v>0</v>
      </c>
    </row>
    <row r="25" spans="1:32" hidden="1" x14ac:dyDescent="0.35">
      <c r="A25" s="59" t="s">
        <v>241</v>
      </c>
      <c r="B25" s="54">
        <v>28</v>
      </c>
      <c r="C25" s="60" t="s">
        <v>225</v>
      </c>
      <c r="D25" s="60"/>
      <c r="E25" s="60"/>
      <c r="F25" s="60"/>
      <c r="G25" s="61">
        <f>SUM(D25:F25)</f>
        <v>0</v>
      </c>
      <c r="H25" s="60"/>
      <c r="I25" s="60"/>
      <c r="J25" s="60"/>
      <c r="K25" s="61">
        <f>SUM(H25:J25)</f>
        <v>0</v>
      </c>
      <c r="L25" s="60"/>
      <c r="M25" s="60"/>
      <c r="N25" s="60"/>
      <c r="O25" s="61">
        <f>SUM(L25:N25)</f>
        <v>0</v>
      </c>
      <c r="P25" s="60"/>
      <c r="Q25" s="60"/>
      <c r="R25" s="60"/>
      <c r="S25" s="61">
        <f>SUM(P25:R25)</f>
        <v>0</v>
      </c>
      <c r="T25" s="60">
        <v>9</v>
      </c>
      <c r="U25" s="60">
        <v>3</v>
      </c>
      <c r="V25" s="60"/>
      <c r="W25" s="61">
        <f>SUM(T25:V25)</f>
        <v>12</v>
      </c>
      <c r="X25" s="60">
        <v>1</v>
      </c>
      <c r="Y25" s="60"/>
      <c r="Z25" s="60"/>
      <c r="AA25" s="61">
        <f>SUM(X25:Z25)</f>
        <v>1</v>
      </c>
      <c r="AB25" s="60"/>
      <c r="AC25" s="60"/>
      <c r="AD25" s="60"/>
      <c r="AE25" s="61">
        <f>SUM(AB25:AD25)</f>
        <v>0</v>
      </c>
      <c r="AF25" s="68">
        <f t="shared" si="1"/>
        <v>13</v>
      </c>
    </row>
    <row r="26" spans="1:32" hidden="1" x14ac:dyDescent="0.35">
      <c r="A26" s="114" t="s">
        <v>242</v>
      </c>
      <c r="B26" s="54"/>
      <c r="C26" s="63" t="s">
        <v>227</v>
      </c>
      <c r="D26" s="63"/>
      <c r="E26" s="63"/>
      <c r="F26" s="63"/>
      <c r="G26" s="61">
        <f>SUM(D26:F26)</f>
        <v>0</v>
      </c>
      <c r="H26" s="63"/>
      <c r="I26" s="63"/>
      <c r="J26" s="63"/>
      <c r="K26" s="61">
        <f>SUM(H26:J26)</f>
        <v>0</v>
      </c>
      <c r="L26" s="63"/>
      <c r="M26" s="63"/>
      <c r="N26" s="63"/>
      <c r="O26" s="61">
        <f>SUM(L26:N26)</f>
        <v>0</v>
      </c>
      <c r="P26" s="63"/>
      <c r="Q26" s="63"/>
      <c r="R26" s="63"/>
      <c r="S26" s="61">
        <f>SUM(P26:R26)</f>
        <v>0</v>
      </c>
      <c r="T26" s="63">
        <v>3</v>
      </c>
      <c r="U26" s="63">
        <v>1</v>
      </c>
      <c r="V26" s="63"/>
      <c r="W26" s="61">
        <f>SUM(T26:V26)</f>
        <v>4</v>
      </c>
      <c r="X26" s="63"/>
      <c r="Y26" s="63"/>
      <c r="Z26" s="63"/>
      <c r="AA26" s="61">
        <f>SUM(X26:Z26)</f>
        <v>0</v>
      </c>
      <c r="AB26" s="63"/>
      <c r="AC26" s="63"/>
      <c r="AD26" s="63"/>
      <c r="AE26" s="61">
        <f>SUM(AB26:AD26)</f>
        <v>0</v>
      </c>
      <c r="AF26" s="68">
        <f t="shared" si="1"/>
        <v>4</v>
      </c>
    </row>
    <row r="27" spans="1:32" hidden="1" x14ac:dyDescent="0.35">
      <c r="A27" s="114"/>
      <c r="B27" s="54"/>
      <c r="C27" s="60" t="s">
        <v>228</v>
      </c>
      <c r="D27" s="60"/>
      <c r="E27" s="60"/>
      <c r="F27" s="60"/>
      <c r="G27" s="61">
        <f>SUM(D27:F27)</f>
        <v>0</v>
      </c>
      <c r="H27" s="60"/>
      <c r="I27" s="60"/>
      <c r="J27" s="60"/>
      <c r="K27" s="61">
        <f>SUM(H27:J27)</f>
        <v>0</v>
      </c>
      <c r="L27" s="60"/>
      <c r="M27" s="60"/>
      <c r="N27" s="60"/>
      <c r="O27" s="61">
        <f>SUM(L27:N27)</f>
        <v>0</v>
      </c>
      <c r="P27" s="60"/>
      <c r="Q27" s="60"/>
      <c r="R27" s="60"/>
      <c r="S27" s="61">
        <f>SUM(P27:R27)</f>
        <v>0</v>
      </c>
      <c r="T27" s="60">
        <v>6</v>
      </c>
      <c r="U27" s="60">
        <v>1</v>
      </c>
      <c r="V27" s="60"/>
      <c r="W27" s="61">
        <f>SUM(T27:V27)</f>
        <v>7</v>
      </c>
      <c r="X27" s="60">
        <v>1</v>
      </c>
      <c r="Y27" s="60">
        <v>1</v>
      </c>
      <c r="Z27" s="60"/>
      <c r="AA27" s="61">
        <f>SUM(X27:Z27)</f>
        <v>2</v>
      </c>
      <c r="AB27" s="60"/>
      <c r="AC27" s="60"/>
      <c r="AD27" s="60"/>
      <c r="AE27" s="61">
        <f>SUM(AB27:AD27)</f>
        <v>0</v>
      </c>
      <c r="AF27" s="68">
        <f t="shared" si="1"/>
        <v>9</v>
      </c>
    </row>
    <row r="28" spans="1:32" hidden="1" x14ac:dyDescent="0.35">
      <c r="B28" s="54"/>
      <c r="C28" s="63" t="s">
        <v>235</v>
      </c>
      <c r="D28" s="63"/>
      <c r="E28" s="63"/>
      <c r="F28" s="63"/>
      <c r="G28" s="61">
        <f>SUM(D28:F28)</f>
        <v>0</v>
      </c>
      <c r="H28" s="63"/>
      <c r="I28" s="63"/>
      <c r="J28" s="63"/>
      <c r="K28" s="61">
        <f>SUM(H28:J28)</f>
        <v>0</v>
      </c>
      <c r="L28" s="63"/>
      <c r="M28" s="63"/>
      <c r="N28" s="63"/>
      <c r="O28" s="61">
        <f>SUM(L28:N28)</f>
        <v>0</v>
      </c>
      <c r="P28" s="63"/>
      <c r="Q28" s="63"/>
      <c r="R28" s="63"/>
      <c r="S28" s="61">
        <f>SUM(P28:R28)</f>
        <v>0</v>
      </c>
      <c r="T28" s="63">
        <v>9</v>
      </c>
      <c r="U28" s="63"/>
      <c r="V28" s="63"/>
      <c r="W28" s="61">
        <f>SUM(T28:V28)</f>
        <v>9</v>
      </c>
      <c r="X28" s="63"/>
      <c r="Y28" s="63">
        <v>2</v>
      </c>
      <c r="Z28" s="63"/>
      <c r="AA28" s="61">
        <f>SUM(X28:Z28)</f>
        <v>2</v>
      </c>
      <c r="AB28" s="63"/>
      <c r="AC28" s="63"/>
      <c r="AD28" s="63"/>
      <c r="AE28" s="61">
        <f>SUM(AB28:AD28)</f>
        <v>0</v>
      </c>
      <c r="AF28" s="68">
        <f t="shared" si="1"/>
        <v>11</v>
      </c>
    </row>
    <row r="29" spans="1:32" x14ac:dyDescent="0.35">
      <c r="A29" s="66" t="s">
        <v>241</v>
      </c>
      <c r="B29" s="67">
        <v>28</v>
      </c>
      <c r="C29" s="66"/>
      <c r="D29" s="66">
        <f t="shared" ref="D29:AE29" si="6">SUM(D25:D28)</f>
        <v>0</v>
      </c>
      <c r="E29" s="66">
        <f t="shared" si="6"/>
        <v>0</v>
      </c>
      <c r="F29" s="66">
        <f t="shared" si="6"/>
        <v>0</v>
      </c>
      <c r="G29" s="61">
        <f t="shared" si="6"/>
        <v>0</v>
      </c>
      <c r="H29" s="66">
        <f t="shared" si="6"/>
        <v>0</v>
      </c>
      <c r="I29" s="66">
        <f t="shared" si="6"/>
        <v>0</v>
      </c>
      <c r="J29" s="66">
        <f t="shared" si="6"/>
        <v>0</v>
      </c>
      <c r="K29" s="61">
        <f t="shared" si="6"/>
        <v>0</v>
      </c>
      <c r="L29" s="66">
        <f t="shared" si="6"/>
        <v>0</v>
      </c>
      <c r="M29" s="66">
        <f t="shared" si="6"/>
        <v>0</v>
      </c>
      <c r="N29" s="66">
        <f t="shared" si="6"/>
        <v>0</v>
      </c>
      <c r="O29" s="61">
        <f t="shared" si="6"/>
        <v>0</v>
      </c>
      <c r="P29" s="66">
        <f t="shared" si="6"/>
        <v>0</v>
      </c>
      <c r="Q29" s="66">
        <f t="shared" si="6"/>
        <v>0</v>
      </c>
      <c r="R29" s="66">
        <f t="shared" si="6"/>
        <v>0</v>
      </c>
      <c r="S29" s="61">
        <f t="shared" si="6"/>
        <v>0</v>
      </c>
      <c r="T29" s="66">
        <f t="shared" si="6"/>
        <v>27</v>
      </c>
      <c r="U29" s="66">
        <f t="shared" si="6"/>
        <v>5</v>
      </c>
      <c r="V29" s="66">
        <f t="shared" si="6"/>
        <v>0</v>
      </c>
      <c r="W29" s="61">
        <f t="shared" si="6"/>
        <v>32</v>
      </c>
      <c r="X29" s="66">
        <f t="shared" si="6"/>
        <v>2</v>
      </c>
      <c r="Y29" s="66">
        <f t="shared" si="6"/>
        <v>3</v>
      </c>
      <c r="Z29" s="66">
        <f t="shared" si="6"/>
        <v>0</v>
      </c>
      <c r="AA29" s="61">
        <f t="shared" si="6"/>
        <v>5</v>
      </c>
      <c r="AB29" s="66">
        <f t="shared" si="6"/>
        <v>0</v>
      </c>
      <c r="AC29" s="66">
        <f t="shared" si="6"/>
        <v>0</v>
      </c>
      <c r="AD29" s="66">
        <f t="shared" si="6"/>
        <v>0</v>
      </c>
      <c r="AE29" s="61">
        <f t="shared" si="6"/>
        <v>0</v>
      </c>
      <c r="AF29" s="68">
        <f t="shared" si="1"/>
        <v>37</v>
      </c>
    </row>
    <row r="30" spans="1:32" ht="14.25" hidden="1" customHeight="1" x14ac:dyDescent="0.35">
      <c r="A30" s="59" t="s">
        <v>243</v>
      </c>
      <c r="B30" s="54">
        <v>25</v>
      </c>
      <c r="C30" s="60" t="s">
        <v>225</v>
      </c>
      <c r="D30" s="60"/>
      <c r="E30" s="60"/>
      <c r="F30" s="60"/>
      <c r="G30" s="61">
        <f>SUM(D30:F30)</f>
        <v>0</v>
      </c>
      <c r="H30" s="60"/>
      <c r="I30" s="60"/>
      <c r="J30" s="60"/>
      <c r="K30" s="61">
        <f>SUM(H30:J30)</f>
        <v>0</v>
      </c>
      <c r="L30" s="60"/>
      <c r="M30" s="60"/>
      <c r="N30" s="60"/>
      <c r="O30" s="61">
        <f>SUM(L30:N30)</f>
        <v>0</v>
      </c>
      <c r="P30" s="60"/>
      <c r="Q30" s="60"/>
      <c r="R30" s="60"/>
      <c r="S30" s="61">
        <f>SUM(P30:R30)</f>
        <v>0</v>
      </c>
      <c r="T30" s="60"/>
      <c r="U30" s="60"/>
      <c r="V30" s="60"/>
      <c r="W30" s="61">
        <f>SUM(T30:V30)</f>
        <v>0</v>
      </c>
      <c r="X30" s="60"/>
      <c r="Y30" s="60"/>
      <c r="Z30" s="60"/>
      <c r="AA30" s="61">
        <f>SUM(X30:Z30)</f>
        <v>0</v>
      </c>
      <c r="AB30" s="60"/>
      <c r="AC30" s="60"/>
      <c r="AD30" s="60"/>
      <c r="AE30" s="61">
        <f>SUM(AB30:AD30)</f>
        <v>0</v>
      </c>
      <c r="AF30" s="68">
        <f t="shared" si="1"/>
        <v>0</v>
      </c>
    </row>
    <row r="31" spans="1:32" hidden="1" x14ac:dyDescent="0.35">
      <c r="A31" s="115" t="s">
        <v>244</v>
      </c>
      <c r="B31" s="54"/>
      <c r="C31" s="63" t="s">
        <v>227</v>
      </c>
      <c r="D31" s="63"/>
      <c r="E31" s="63"/>
      <c r="F31" s="63"/>
      <c r="G31" s="61">
        <f>SUM(D31:F31)</f>
        <v>0</v>
      </c>
      <c r="H31" s="63"/>
      <c r="I31" s="63"/>
      <c r="J31" s="63"/>
      <c r="K31" s="61">
        <f>SUM(H31:J31)</f>
        <v>0</v>
      </c>
      <c r="L31" s="63"/>
      <c r="M31" s="63"/>
      <c r="N31" s="63"/>
      <c r="O31" s="61">
        <f>SUM(L31:N31)</f>
        <v>0</v>
      </c>
      <c r="P31" s="63"/>
      <c r="Q31" s="63"/>
      <c r="R31" s="63"/>
      <c r="S31" s="61">
        <f>SUM(P31:R31)</f>
        <v>0</v>
      </c>
      <c r="T31" s="63"/>
      <c r="U31" s="63"/>
      <c r="V31" s="63"/>
      <c r="W31" s="61">
        <f>SUM(T31:V31)</f>
        <v>0</v>
      </c>
      <c r="X31" s="63">
        <v>1</v>
      </c>
      <c r="Y31" s="63"/>
      <c r="Z31" s="63"/>
      <c r="AA31" s="61">
        <f>SUM(X31:Z31)</f>
        <v>1</v>
      </c>
      <c r="AB31" s="63"/>
      <c r="AC31" s="63"/>
      <c r="AD31" s="63"/>
      <c r="AE31" s="61">
        <f>SUM(AB31:AD31)</f>
        <v>0</v>
      </c>
      <c r="AF31" s="68">
        <f t="shared" si="1"/>
        <v>1</v>
      </c>
    </row>
    <row r="32" spans="1:32" hidden="1" x14ac:dyDescent="0.35">
      <c r="A32" s="115"/>
      <c r="B32" s="54"/>
      <c r="C32" s="60" t="s">
        <v>228</v>
      </c>
      <c r="D32" s="60"/>
      <c r="E32" s="60"/>
      <c r="F32" s="60"/>
      <c r="G32" s="61">
        <f>SUM(D32:F32)</f>
        <v>0</v>
      </c>
      <c r="H32" s="60"/>
      <c r="I32" s="60"/>
      <c r="J32" s="60"/>
      <c r="K32" s="61">
        <f>SUM(H32:J32)</f>
        <v>0</v>
      </c>
      <c r="L32" s="60"/>
      <c r="M32" s="60"/>
      <c r="N32" s="60"/>
      <c r="O32" s="61">
        <f>SUM(L32:N32)</f>
        <v>0</v>
      </c>
      <c r="P32" s="60"/>
      <c r="Q32" s="60"/>
      <c r="R32" s="60"/>
      <c r="S32" s="61">
        <f>SUM(P32:R32)</f>
        <v>0</v>
      </c>
      <c r="T32" s="60"/>
      <c r="U32" s="60"/>
      <c r="V32" s="60"/>
      <c r="W32" s="61">
        <f>SUM(T32:V32)</f>
        <v>0</v>
      </c>
      <c r="X32" s="60"/>
      <c r="Y32" s="60"/>
      <c r="Z32" s="60"/>
      <c r="AA32" s="61">
        <f>SUM(X32:Z32)</f>
        <v>0</v>
      </c>
      <c r="AB32" s="60"/>
      <c r="AC32" s="60"/>
      <c r="AD32" s="60"/>
      <c r="AE32" s="61">
        <f>SUM(AB32:AD32)</f>
        <v>0</v>
      </c>
      <c r="AF32" s="68">
        <f t="shared" si="1"/>
        <v>0</v>
      </c>
    </row>
    <row r="33" spans="1:32" hidden="1" x14ac:dyDescent="0.35">
      <c r="B33" s="54"/>
      <c r="C33" s="63" t="s">
        <v>235</v>
      </c>
      <c r="D33" s="63"/>
      <c r="E33" s="63"/>
      <c r="F33" s="63"/>
      <c r="G33" s="61">
        <f>SUM(D33:F33)</f>
        <v>0</v>
      </c>
      <c r="H33" s="63"/>
      <c r="I33" s="63"/>
      <c r="J33" s="63"/>
      <c r="K33" s="61">
        <f>SUM(H33:J33)</f>
        <v>0</v>
      </c>
      <c r="L33" s="63"/>
      <c r="M33" s="63"/>
      <c r="N33" s="63"/>
      <c r="O33" s="61">
        <f>SUM(L33:N33)</f>
        <v>0</v>
      </c>
      <c r="P33" s="63"/>
      <c r="Q33" s="63"/>
      <c r="R33" s="63"/>
      <c r="S33" s="61">
        <f>SUM(P33:R33)</f>
        <v>0</v>
      </c>
      <c r="T33" s="63"/>
      <c r="U33" s="63"/>
      <c r="V33" s="63"/>
      <c r="W33" s="61">
        <f>SUM(T33:V33)</f>
        <v>0</v>
      </c>
      <c r="X33" s="63"/>
      <c r="Y33" s="63"/>
      <c r="Z33" s="63"/>
      <c r="AA33" s="61">
        <f>SUM(X33:Z33)</f>
        <v>0</v>
      </c>
      <c r="AB33" s="63"/>
      <c r="AC33" s="63"/>
      <c r="AD33" s="63"/>
      <c r="AE33" s="61">
        <f>SUM(AB33:AD33)</f>
        <v>0</v>
      </c>
      <c r="AF33" s="68">
        <f t="shared" si="1"/>
        <v>0</v>
      </c>
    </row>
    <row r="34" spans="1:32" hidden="1" x14ac:dyDescent="0.35">
      <c r="A34" s="66" t="s">
        <v>244</v>
      </c>
      <c r="B34" s="70"/>
      <c r="C34" s="66"/>
      <c r="D34" s="66">
        <f t="shared" ref="D34:AE34" si="7">SUM(D30:D33)</f>
        <v>0</v>
      </c>
      <c r="E34" s="66">
        <f t="shared" si="7"/>
        <v>0</v>
      </c>
      <c r="F34" s="66">
        <f t="shared" si="7"/>
        <v>0</v>
      </c>
      <c r="G34" s="61">
        <f t="shared" si="7"/>
        <v>0</v>
      </c>
      <c r="H34" s="66">
        <f t="shared" si="7"/>
        <v>0</v>
      </c>
      <c r="I34" s="66">
        <f t="shared" si="7"/>
        <v>0</v>
      </c>
      <c r="J34" s="66">
        <f t="shared" si="7"/>
        <v>0</v>
      </c>
      <c r="K34" s="61">
        <f t="shared" si="7"/>
        <v>0</v>
      </c>
      <c r="L34" s="66">
        <f t="shared" si="7"/>
        <v>0</v>
      </c>
      <c r="M34" s="66">
        <f t="shared" si="7"/>
        <v>0</v>
      </c>
      <c r="N34" s="66">
        <f t="shared" si="7"/>
        <v>0</v>
      </c>
      <c r="O34" s="61">
        <f t="shared" si="7"/>
        <v>0</v>
      </c>
      <c r="P34" s="66">
        <f t="shared" si="7"/>
        <v>0</v>
      </c>
      <c r="Q34" s="66">
        <f t="shared" si="7"/>
        <v>0</v>
      </c>
      <c r="R34" s="66">
        <f t="shared" si="7"/>
        <v>0</v>
      </c>
      <c r="S34" s="61">
        <f t="shared" si="7"/>
        <v>0</v>
      </c>
      <c r="T34" s="66">
        <f t="shared" si="7"/>
        <v>0</v>
      </c>
      <c r="U34" s="66">
        <f t="shared" si="7"/>
        <v>0</v>
      </c>
      <c r="V34" s="66">
        <f t="shared" si="7"/>
        <v>0</v>
      </c>
      <c r="W34" s="61">
        <f t="shared" si="7"/>
        <v>0</v>
      </c>
      <c r="X34" s="66">
        <f t="shared" si="7"/>
        <v>1</v>
      </c>
      <c r="Y34" s="66">
        <f t="shared" si="7"/>
        <v>0</v>
      </c>
      <c r="Z34" s="66">
        <f t="shared" si="7"/>
        <v>0</v>
      </c>
      <c r="AA34" s="61">
        <f t="shared" si="7"/>
        <v>1</v>
      </c>
      <c r="AB34" s="66">
        <f t="shared" si="7"/>
        <v>0</v>
      </c>
      <c r="AC34" s="66">
        <f t="shared" si="7"/>
        <v>0</v>
      </c>
      <c r="AD34" s="66">
        <f t="shared" si="7"/>
        <v>0</v>
      </c>
      <c r="AE34" s="61">
        <f t="shared" si="7"/>
        <v>0</v>
      </c>
      <c r="AF34" s="68">
        <f t="shared" si="1"/>
        <v>1</v>
      </c>
    </row>
    <row r="35" spans="1:32" hidden="1" x14ac:dyDescent="0.35">
      <c r="A35" s="138" t="s">
        <v>245</v>
      </c>
      <c r="B35" s="54"/>
      <c r="C35" s="60" t="s">
        <v>225</v>
      </c>
      <c r="D35" s="60"/>
      <c r="E35" s="60"/>
      <c r="F35" s="60"/>
      <c r="G35" s="61">
        <f>SUM(D35:F35)</f>
        <v>0</v>
      </c>
      <c r="H35" s="60"/>
      <c r="I35" s="60"/>
      <c r="J35" s="60"/>
      <c r="K35" s="61">
        <f>SUM(H35:J35)</f>
        <v>0</v>
      </c>
      <c r="L35" s="60"/>
      <c r="M35" s="60"/>
      <c r="N35" s="60"/>
      <c r="O35" s="61">
        <f>SUM(L35:N35)</f>
        <v>0</v>
      </c>
      <c r="P35" s="60"/>
      <c r="Q35" s="60"/>
      <c r="R35" s="60"/>
      <c r="S35" s="61">
        <f>SUM(P35:R35)</f>
        <v>0</v>
      </c>
      <c r="T35" s="60"/>
      <c r="U35" s="60"/>
      <c r="V35" s="60"/>
      <c r="W35" s="61">
        <f>SUM(T35:V35)</f>
        <v>0</v>
      </c>
      <c r="X35" s="60"/>
      <c r="Y35" s="60"/>
      <c r="Z35" s="60"/>
      <c r="AA35" s="61">
        <f>SUM(X35:Z35)</f>
        <v>0</v>
      </c>
      <c r="AB35" s="60"/>
      <c r="AC35" s="60"/>
      <c r="AD35" s="60"/>
      <c r="AE35" s="61">
        <f>SUM(AB35:AD35)</f>
        <v>0</v>
      </c>
      <c r="AF35" s="68">
        <f t="shared" si="1"/>
        <v>0</v>
      </c>
    </row>
    <row r="36" spans="1:32" hidden="1" x14ac:dyDescent="0.35">
      <c r="A36" s="112"/>
      <c r="B36" s="54"/>
      <c r="C36" s="63" t="s">
        <v>227</v>
      </c>
      <c r="D36" s="63"/>
      <c r="E36" s="63"/>
      <c r="F36" s="63"/>
      <c r="G36" s="61">
        <f>SUM(D36:F36)</f>
        <v>0</v>
      </c>
      <c r="H36" s="63"/>
      <c r="I36" s="63"/>
      <c r="J36" s="63"/>
      <c r="K36" s="61">
        <f>SUM(H36:J36)</f>
        <v>0</v>
      </c>
      <c r="L36" s="63"/>
      <c r="M36" s="63"/>
      <c r="N36" s="63"/>
      <c r="O36" s="61">
        <f>SUM(L36:N36)</f>
        <v>0</v>
      </c>
      <c r="P36" s="63"/>
      <c r="Q36" s="63"/>
      <c r="R36" s="63"/>
      <c r="S36" s="61">
        <f>SUM(P36:R36)</f>
        <v>0</v>
      </c>
      <c r="T36" s="63"/>
      <c r="U36" s="63"/>
      <c r="V36" s="63"/>
      <c r="W36" s="61">
        <f>SUM(T36:V36)</f>
        <v>0</v>
      </c>
      <c r="X36" s="63"/>
      <c r="Y36" s="63"/>
      <c r="Z36" s="63"/>
      <c r="AA36" s="61">
        <f>SUM(X36:Z36)</f>
        <v>0</v>
      </c>
      <c r="AB36" s="63"/>
      <c r="AC36" s="63"/>
      <c r="AD36" s="63"/>
      <c r="AE36" s="61">
        <f>SUM(AB36:AD36)</f>
        <v>0</v>
      </c>
      <c r="AF36" s="68">
        <f t="shared" si="1"/>
        <v>0</v>
      </c>
    </row>
    <row r="37" spans="1:32" hidden="1" x14ac:dyDescent="0.35">
      <c r="B37" s="54"/>
      <c r="C37" s="60" t="s">
        <v>228</v>
      </c>
      <c r="D37" s="60"/>
      <c r="E37" s="60"/>
      <c r="F37" s="60"/>
      <c r="G37" s="61">
        <f>SUM(D37:F37)</f>
        <v>0</v>
      </c>
      <c r="H37" s="60"/>
      <c r="I37" s="60"/>
      <c r="J37" s="60"/>
      <c r="K37" s="61">
        <f>SUM(H37:J37)</f>
        <v>0</v>
      </c>
      <c r="L37" s="60"/>
      <c r="M37" s="60"/>
      <c r="N37" s="60"/>
      <c r="O37" s="61">
        <f>SUM(L37:N37)</f>
        <v>0</v>
      </c>
      <c r="P37" s="60"/>
      <c r="Q37" s="60"/>
      <c r="R37" s="60"/>
      <c r="S37" s="61">
        <f>SUM(P37:R37)</f>
        <v>0</v>
      </c>
      <c r="T37" s="60"/>
      <c r="U37" s="60"/>
      <c r="V37" s="60"/>
      <c r="W37" s="61">
        <f>SUM(T37:V37)</f>
        <v>0</v>
      </c>
      <c r="X37" s="60"/>
      <c r="Y37" s="60"/>
      <c r="Z37" s="60"/>
      <c r="AA37" s="61">
        <f>SUM(X37:Z37)</f>
        <v>0</v>
      </c>
      <c r="AB37" s="60"/>
      <c r="AC37" s="60"/>
      <c r="AD37" s="60"/>
      <c r="AE37" s="61">
        <f>SUM(AB37:AD37)</f>
        <v>0</v>
      </c>
      <c r="AF37" s="68">
        <f t="shared" si="1"/>
        <v>0</v>
      </c>
    </row>
    <row r="38" spans="1:32" hidden="1" x14ac:dyDescent="0.35">
      <c r="B38" s="54"/>
      <c r="C38" s="63" t="s">
        <v>235</v>
      </c>
      <c r="D38" s="63"/>
      <c r="E38" s="63"/>
      <c r="F38" s="63"/>
      <c r="G38" s="61">
        <f>SUM(D38:F38)</f>
        <v>0</v>
      </c>
      <c r="H38" s="63"/>
      <c r="I38" s="63"/>
      <c r="J38" s="63"/>
      <c r="K38" s="61">
        <f>SUM(H38:J38)</f>
        <v>0</v>
      </c>
      <c r="L38" s="63"/>
      <c r="M38" s="63"/>
      <c r="N38" s="63"/>
      <c r="O38" s="61">
        <f>SUM(L38:N38)</f>
        <v>0</v>
      </c>
      <c r="P38" s="63"/>
      <c r="Q38" s="63"/>
      <c r="R38" s="63"/>
      <c r="S38" s="61">
        <f>SUM(P38:R38)</f>
        <v>0</v>
      </c>
      <c r="T38" s="63"/>
      <c r="U38" s="63"/>
      <c r="V38" s="63"/>
      <c r="W38" s="61">
        <f>SUM(T38:V38)</f>
        <v>0</v>
      </c>
      <c r="X38" s="63"/>
      <c r="Y38" s="63"/>
      <c r="Z38" s="63"/>
      <c r="AA38" s="61">
        <f>SUM(X38:Z38)</f>
        <v>0</v>
      </c>
      <c r="AB38" s="63"/>
      <c r="AC38" s="63"/>
      <c r="AD38" s="63"/>
      <c r="AE38" s="61">
        <f>SUM(AB38:AD38)</f>
        <v>0</v>
      </c>
      <c r="AF38" s="68">
        <f t="shared" si="1"/>
        <v>0</v>
      </c>
    </row>
    <row r="39" spans="1:32" hidden="1" x14ac:dyDescent="0.35">
      <c r="A39" s="66" t="s">
        <v>246</v>
      </c>
      <c r="B39" s="67"/>
      <c r="C39" s="73"/>
      <c r="D39" s="73">
        <f t="shared" ref="D39:AE39" si="8">SUM(D35:D38)</f>
        <v>0</v>
      </c>
      <c r="E39" s="73">
        <f t="shared" si="8"/>
        <v>0</v>
      </c>
      <c r="F39" s="73">
        <f t="shared" si="8"/>
        <v>0</v>
      </c>
      <c r="G39" s="56">
        <f t="shared" si="8"/>
        <v>0</v>
      </c>
      <c r="H39" s="73">
        <f t="shared" si="8"/>
        <v>0</v>
      </c>
      <c r="I39" s="73">
        <f t="shared" si="8"/>
        <v>0</v>
      </c>
      <c r="J39" s="73">
        <f t="shared" si="8"/>
        <v>0</v>
      </c>
      <c r="K39" s="56">
        <f t="shared" si="8"/>
        <v>0</v>
      </c>
      <c r="L39" s="73">
        <f t="shared" si="8"/>
        <v>0</v>
      </c>
      <c r="M39" s="73">
        <f t="shared" si="8"/>
        <v>0</v>
      </c>
      <c r="N39" s="73">
        <f t="shared" si="8"/>
        <v>0</v>
      </c>
      <c r="O39" s="56">
        <f t="shared" si="8"/>
        <v>0</v>
      </c>
      <c r="P39" s="73">
        <f t="shared" si="8"/>
        <v>0</v>
      </c>
      <c r="Q39" s="73">
        <f t="shared" si="8"/>
        <v>0</v>
      </c>
      <c r="R39" s="73">
        <f t="shared" si="8"/>
        <v>0</v>
      </c>
      <c r="S39" s="56">
        <f t="shared" si="8"/>
        <v>0</v>
      </c>
      <c r="T39" s="73">
        <f t="shared" si="8"/>
        <v>0</v>
      </c>
      <c r="U39" s="73">
        <f t="shared" si="8"/>
        <v>0</v>
      </c>
      <c r="V39" s="73">
        <f t="shared" si="8"/>
        <v>0</v>
      </c>
      <c r="W39" s="56">
        <f t="shared" si="8"/>
        <v>0</v>
      </c>
      <c r="X39" s="73">
        <f t="shared" si="8"/>
        <v>0</v>
      </c>
      <c r="Y39" s="73">
        <f t="shared" si="8"/>
        <v>0</v>
      </c>
      <c r="Z39" s="73">
        <f t="shared" si="8"/>
        <v>0</v>
      </c>
      <c r="AA39" s="56">
        <f t="shared" si="8"/>
        <v>0</v>
      </c>
      <c r="AB39" s="73">
        <f t="shared" si="8"/>
        <v>0</v>
      </c>
      <c r="AC39" s="73">
        <f t="shared" si="8"/>
        <v>0</v>
      </c>
      <c r="AD39" s="73">
        <f t="shared" si="8"/>
        <v>0</v>
      </c>
      <c r="AE39" s="56">
        <f t="shared" si="8"/>
        <v>0</v>
      </c>
      <c r="AF39" s="74">
        <f t="shared" si="1"/>
        <v>0</v>
      </c>
    </row>
    <row r="40" spans="1:32" x14ac:dyDescent="0.35">
      <c r="A40" s="66" t="s">
        <v>243</v>
      </c>
      <c r="B40" s="67">
        <v>25</v>
      </c>
      <c r="C40" s="66"/>
      <c r="D40" s="66">
        <f t="shared" ref="D40:AE40" si="9">SUM(D39,D34)</f>
        <v>0</v>
      </c>
      <c r="E40" s="66">
        <f t="shared" si="9"/>
        <v>0</v>
      </c>
      <c r="F40" s="66">
        <f t="shared" si="9"/>
        <v>0</v>
      </c>
      <c r="G40" s="61">
        <f t="shared" si="9"/>
        <v>0</v>
      </c>
      <c r="H40" s="66">
        <f t="shared" si="9"/>
        <v>0</v>
      </c>
      <c r="I40" s="66">
        <f t="shared" si="9"/>
        <v>0</v>
      </c>
      <c r="J40" s="66">
        <f t="shared" si="9"/>
        <v>0</v>
      </c>
      <c r="K40" s="61">
        <f t="shared" si="9"/>
        <v>0</v>
      </c>
      <c r="L40" s="66">
        <f t="shared" si="9"/>
        <v>0</v>
      </c>
      <c r="M40" s="66">
        <f t="shared" si="9"/>
        <v>0</v>
      </c>
      <c r="N40" s="66">
        <f t="shared" si="9"/>
        <v>0</v>
      </c>
      <c r="O40" s="61">
        <f t="shared" si="9"/>
        <v>0</v>
      </c>
      <c r="P40" s="66">
        <f t="shared" si="9"/>
        <v>0</v>
      </c>
      <c r="Q40" s="66">
        <f t="shared" si="9"/>
        <v>0</v>
      </c>
      <c r="R40" s="66">
        <f t="shared" si="9"/>
        <v>0</v>
      </c>
      <c r="S40" s="61">
        <f t="shared" si="9"/>
        <v>0</v>
      </c>
      <c r="T40" s="66">
        <f t="shared" si="9"/>
        <v>0</v>
      </c>
      <c r="U40" s="66">
        <f t="shared" si="9"/>
        <v>0</v>
      </c>
      <c r="V40" s="66">
        <f t="shared" si="9"/>
        <v>0</v>
      </c>
      <c r="W40" s="61">
        <f t="shared" si="9"/>
        <v>0</v>
      </c>
      <c r="X40" s="66">
        <f t="shared" si="9"/>
        <v>1</v>
      </c>
      <c r="Y40" s="66">
        <f t="shared" si="9"/>
        <v>0</v>
      </c>
      <c r="Z40" s="66">
        <f t="shared" si="9"/>
        <v>0</v>
      </c>
      <c r="AA40" s="61">
        <f t="shared" si="9"/>
        <v>1</v>
      </c>
      <c r="AB40" s="66">
        <f t="shared" si="9"/>
        <v>0</v>
      </c>
      <c r="AC40" s="66">
        <f t="shared" si="9"/>
        <v>0</v>
      </c>
      <c r="AD40" s="66">
        <f t="shared" si="9"/>
        <v>0</v>
      </c>
      <c r="AE40" s="61">
        <f t="shared" si="9"/>
        <v>0</v>
      </c>
      <c r="AF40" s="68">
        <f t="shared" si="1"/>
        <v>1</v>
      </c>
    </row>
    <row r="41" spans="1:32" hidden="1" x14ac:dyDescent="0.35">
      <c r="A41" s="59" t="s">
        <v>247</v>
      </c>
      <c r="B41" s="54" t="s">
        <v>248</v>
      </c>
      <c r="C41" s="60" t="s">
        <v>225</v>
      </c>
      <c r="D41" s="60"/>
      <c r="E41" s="60"/>
      <c r="F41" s="60"/>
      <c r="G41" s="61">
        <f>SUM(D41:F41)</f>
        <v>0</v>
      </c>
      <c r="H41" s="60"/>
      <c r="I41" s="60"/>
      <c r="J41" s="60"/>
      <c r="K41" s="61">
        <f>SUM(H41:J41)</f>
        <v>0</v>
      </c>
      <c r="L41" s="60"/>
      <c r="M41" s="60"/>
      <c r="N41" s="60"/>
      <c r="O41" s="61">
        <f>SUM(L41:N41)</f>
        <v>0</v>
      </c>
      <c r="P41" s="60"/>
      <c r="Q41" s="60"/>
      <c r="R41" s="60"/>
      <c r="S41" s="61">
        <f>SUM(P41:R41)</f>
        <v>0</v>
      </c>
      <c r="T41" s="60"/>
      <c r="U41" s="60"/>
      <c r="V41" s="60"/>
      <c r="W41" s="61">
        <f>SUM(T41:V41)</f>
        <v>0</v>
      </c>
      <c r="X41" s="60"/>
      <c r="Y41" s="60"/>
      <c r="Z41" s="60"/>
      <c r="AA41" s="61">
        <f>SUM(X41:Z41)</f>
        <v>0</v>
      </c>
      <c r="AB41" s="60"/>
      <c r="AC41" s="60"/>
      <c r="AD41" s="60"/>
      <c r="AE41" s="61">
        <f>SUM(AB41:AD41)</f>
        <v>0</v>
      </c>
      <c r="AF41" s="68">
        <f t="shared" si="1"/>
        <v>0</v>
      </c>
    </row>
    <row r="42" spans="1:32" hidden="1" x14ac:dyDescent="0.35">
      <c r="A42" s="112" t="s">
        <v>249</v>
      </c>
      <c r="B42" s="54"/>
      <c r="C42" s="63" t="s">
        <v>227</v>
      </c>
      <c r="D42" s="63">
        <v>1</v>
      </c>
      <c r="E42" s="63"/>
      <c r="F42" s="63"/>
      <c r="G42" s="61">
        <f>SUM(D42:F42)</f>
        <v>1</v>
      </c>
      <c r="H42" s="63"/>
      <c r="I42" s="63"/>
      <c r="J42" s="63"/>
      <c r="K42" s="61">
        <f>SUM(H42:J42)</f>
        <v>0</v>
      </c>
      <c r="L42" s="63"/>
      <c r="M42" s="63"/>
      <c r="N42" s="63"/>
      <c r="O42" s="61">
        <f>SUM(L42:N42)</f>
        <v>0</v>
      </c>
      <c r="P42" s="63"/>
      <c r="Q42" s="63"/>
      <c r="R42" s="63"/>
      <c r="S42" s="61">
        <f>SUM(P42:R42)</f>
        <v>0</v>
      </c>
      <c r="T42" s="63">
        <v>6</v>
      </c>
      <c r="U42" s="63"/>
      <c r="V42" s="63"/>
      <c r="W42" s="61">
        <f>SUM(T42:V42)</f>
        <v>6</v>
      </c>
      <c r="X42" s="63">
        <v>1</v>
      </c>
      <c r="Y42" s="63"/>
      <c r="Z42" s="63"/>
      <c r="AA42" s="61">
        <f>SUM(X42:Z42)</f>
        <v>1</v>
      </c>
      <c r="AB42" s="63"/>
      <c r="AC42" s="63"/>
      <c r="AD42" s="63"/>
      <c r="AE42" s="61">
        <f>SUM(AB42:AD42)</f>
        <v>0</v>
      </c>
      <c r="AF42" s="68">
        <f t="shared" si="1"/>
        <v>8</v>
      </c>
    </row>
    <row r="43" spans="1:32" hidden="1" x14ac:dyDescent="0.35">
      <c r="A43" s="112"/>
      <c r="B43" s="54"/>
      <c r="C43" s="60" t="s">
        <v>228</v>
      </c>
      <c r="D43" s="60"/>
      <c r="E43" s="60"/>
      <c r="F43" s="60"/>
      <c r="G43" s="61">
        <f>SUM(D43:F43)</f>
        <v>0</v>
      </c>
      <c r="H43" s="60"/>
      <c r="I43" s="60"/>
      <c r="J43" s="60"/>
      <c r="K43" s="61">
        <f>SUM(H43:J43)</f>
        <v>0</v>
      </c>
      <c r="L43" s="60"/>
      <c r="M43" s="60"/>
      <c r="N43" s="60"/>
      <c r="O43" s="61">
        <f>SUM(L43:N43)</f>
        <v>0</v>
      </c>
      <c r="P43" s="60">
        <v>1</v>
      </c>
      <c r="Q43" s="60"/>
      <c r="R43" s="60"/>
      <c r="S43" s="61">
        <f>SUM(P43:R43)</f>
        <v>1</v>
      </c>
      <c r="T43" s="60">
        <v>1</v>
      </c>
      <c r="U43" s="60"/>
      <c r="V43" s="60"/>
      <c r="W43" s="61">
        <f>SUM(T43:V43)</f>
        <v>1</v>
      </c>
      <c r="X43" s="60"/>
      <c r="Y43" s="60"/>
      <c r="Z43" s="60"/>
      <c r="AA43" s="61">
        <f>SUM(X43:Z43)</f>
        <v>0</v>
      </c>
      <c r="AB43" s="60"/>
      <c r="AC43" s="60"/>
      <c r="AD43" s="60"/>
      <c r="AE43" s="61">
        <f>SUM(AB43:AD43)</f>
        <v>0</v>
      </c>
      <c r="AF43" s="68">
        <f t="shared" si="1"/>
        <v>2</v>
      </c>
    </row>
    <row r="44" spans="1:32" hidden="1" x14ac:dyDescent="0.35">
      <c r="B44" s="54"/>
      <c r="C44" s="63" t="s">
        <v>235</v>
      </c>
      <c r="D44" s="63"/>
      <c r="E44" s="63"/>
      <c r="F44" s="63"/>
      <c r="G44" s="61">
        <f>SUM(D44:F44)</f>
        <v>0</v>
      </c>
      <c r="H44" s="63"/>
      <c r="I44" s="63"/>
      <c r="J44" s="63"/>
      <c r="K44" s="61">
        <f>SUM(H44:J44)</f>
        <v>0</v>
      </c>
      <c r="L44" s="63"/>
      <c r="M44" s="63"/>
      <c r="N44" s="63"/>
      <c r="O44" s="61">
        <f>SUM(L44:N44)</f>
        <v>0</v>
      </c>
      <c r="P44" s="63"/>
      <c r="Q44" s="63"/>
      <c r="R44" s="63"/>
      <c r="S44" s="61">
        <f>SUM(P44:R44)</f>
        <v>0</v>
      </c>
      <c r="T44" s="63"/>
      <c r="U44" s="63"/>
      <c r="V44" s="63"/>
      <c r="W44" s="61">
        <f>SUM(T44:V44)</f>
        <v>0</v>
      </c>
      <c r="X44" s="63"/>
      <c r="Y44" s="63"/>
      <c r="Z44" s="63"/>
      <c r="AA44" s="61">
        <f>SUM(X44:Z44)</f>
        <v>0</v>
      </c>
      <c r="AB44" s="63"/>
      <c r="AC44" s="63"/>
      <c r="AD44" s="63"/>
      <c r="AE44" s="61">
        <f>SUM(AB44:AD44)</f>
        <v>0</v>
      </c>
      <c r="AF44" s="68">
        <f t="shared" si="1"/>
        <v>0</v>
      </c>
    </row>
    <row r="45" spans="1:32" hidden="1" x14ac:dyDescent="0.35">
      <c r="A45" s="66" t="s">
        <v>249</v>
      </c>
      <c r="B45" s="67" t="s">
        <v>248</v>
      </c>
      <c r="C45" s="66"/>
      <c r="D45" s="66">
        <f t="shared" ref="D45:AE45" si="10">SUM(D41:D44)</f>
        <v>1</v>
      </c>
      <c r="E45" s="66">
        <f t="shared" si="10"/>
        <v>0</v>
      </c>
      <c r="F45" s="66">
        <f t="shared" si="10"/>
        <v>0</v>
      </c>
      <c r="G45" s="61">
        <f t="shared" si="10"/>
        <v>1</v>
      </c>
      <c r="H45" s="66">
        <f t="shared" si="10"/>
        <v>0</v>
      </c>
      <c r="I45" s="66">
        <f t="shared" si="10"/>
        <v>0</v>
      </c>
      <c r="J45" s="66">
        <f t="shared" si="10"/>
        <v>0</v>
      </c>
      <c r="K45" s="61">
        <f t="shared" si="10"/>
        <v>0</v>
      </c>
      <c r="L45" s="66">
        <f t="shared" si="10"/>
        <v>0</v>
      </c>
      <c r="M45" s="66">
        <f t="shared" si="10"/>
        <v>0</v>
      </c>
      <c r="N45" s="66">
        <f t="shared" si="10"/>
        <v>0</v>
      </c>
      <c r="O45" s="61">
        <f t="shared" si="10"/>
        <v>0</v>
      </c>
      <c r="P45" s="66">
        <f t="shared" si="10"/>
        <v>1</v>
      </c>
      <c r="Q45" s="66">
        <f t="shared" si="10"/>
        <v>0</v>
      </c>
      <c r="R45" s="66">
        <f t="shared" si="10"/>
        <v>0</v>
      </c>
      <c r="S45" s="61">
        <f t="shared" si="10"/>
        <v>1</v>
      </c>
      <c r="T45" s="66">
        <f t="shared" si="10"/>
        <v>7</v>
      </c>
      <c r="U45" s="66">
        <f t="shared" si="10"/>
        <v>0</v>
      </c>
      <c r="V45" s="66">
        <f t="shared" si="10"/>
        <v>0</v>
      </c>
      <c r="W45" s="61">
        <f t="shared" si="10"/>
        <v>7</v>
      </c>
      <c r="X45" s="66">
        <f t="shared" si="10"/>
        <v>1</v>
      </c>
      <c r="Y45" s="66">
        <f t="shared" si="10"/>
        <v>0</v>
      </c>
      <c r="Z45" s="66">
        <f t="shared" si="10"/>
        <v>0</v>
      </c>
      <c r="AA45" s="61">
        <f t="shared" si="10"/>
        <v>1</v>
      </c>
      <c r="AB45" s="66">
        <f t="shared" si="10"/>
        <v>0</v>
      </c>
      <c r="AC45" s="66">
        <f t="shared" si="10"/>
        <v>0</v>
      </c>
      <c r="AD45" s="66">
        <f t="shared" si="10"/>
        <v>0</v>
      </c>
      <c r="AE45" s="61">
        <f t="shared" si="10"/>
        <v>0</v>
      </c>
      <c r="AF45" s="68">
        <f t="shared" si="1"/>
        <v>10</v>
      </c>
    </row>
    <row r="46" spans="1:32" hidden="1" x14ac:dyDescent="0.35">
      <c r="A46" s="138" t="s">
        <v>397</v>
      </c>
      <c r="B46" s="54"/>
      <c r="C46" s="60" t="s">
        <v>225</v>
      </c>
      <c r="D46" s="60"/>
      <c r="E46" s="60"/>
      <c r="F46" s="60"/>
      <c r="G46" s="61">
        <f>SUM(D46:F46)</f>
        <v>0</v>
      </c>
      <c r="H46" s="60"/>
      <c r="I46" s="60"/>
      <c r="J46" s="60"/>
      <c r="K46" s="61">
        <f>SUM(H46:J46)</f>
        <v>0</v>
      </c>
      <c r="L46" s="60"/>
      <c r="M46" s="60"/>
      <c r="N46" s="60"/>
      <c r="O46" s="61">
        <f>SUM(L46:N46)</f>
        <v>0</v>
      </c>
      <c r="P46" s="60"/>
      <c r="Q46" s="60"/>
      <c r="R46" s="60"/>
      <c r="S46" s="61">
        <f>SUM(P46:R46)</f>
        <v>0</v>
      </c>
      <c r="T46" s="60"/>
      <c r="U46" s="60"/>
      <c r="V46" s="60"/>
      <c r="W46" s="61">
        <f>SUM(T46:V46)</f>
        <v>0</v>
      </c>
      <c r="X46" s="60"/>
      <c r="Y46" s="60"/>
      <c r="Z46" s="60"/>
      <c r="AA46" s="61">
        <f>SUM(X46:Z46)</f>
        <v>0</v>
      </c>
      <c r="AB46" s="60"/>
      <c r="AC46" s="60"/>
      <c r="AD46" s="60"/>
      <c r="AE46" s="61">
        <f>SUM(AB46:AD46)</f>
        <v>0</v>
      </c>
      <c r="AF46" s="68">
        <f t="shared" si="1"/>
        <v>0</v>
      </c>
    </row>
    <row r="47" spans="1:32" hidden="1" x14ac:dyDescent="0.35">
      <c r="A47" s="112"/>
      <c r="B47" s="54"/>
      <c r="C47" s="63" t="s">
        <v>227</v>
      </c>
      <c r="D47" s="63"/>
      <c r="E47" s="63"/>
      <c r="F47" s="63"/>
      <c r="G47" s="61">
        <f>SUM(D47:F47)</f>
        <v>0</v>
      </c>
      <c r="H47" s="63"/>
      <c r="I47" s="63"/>
      <c r="J47" s="63"/>
      <c r="K47" s="61">
        <f>SUM(H47:J47)</f>
        <v>0</v>
      </c>
      <c r="L47" s="63"/>
      <c r="M47" s="63"/>
      <c r="N47" s="63"/>
      <c r="O47" s="61">
        <f>SUM(L47:N47)</f>
        <v>0</v>
      </c>
      <c r="P47" s="63"/>
      <c r="Q47" s="63"/>
      <c r="R47" s="63"/>
      <c r="S47" s="61">
        <f>SUM(P47:R47)</f>
        <v>0</v>
      </c>
      <c r="T47" s="63"/>
      <c r="U47" s="63"/>
      <c r="V47" s="63"/>
      <c r="W47" s="61">
        <f>SUM(T47:V47)</f>
        <v>0</v>
      </c>
      <c r="X47" s="63"/>
      <c r="Y47" s="63"/>
      <c r="Z47" s="63"/>
      <c r="AA47" s="61">
        <f>SUM(X47:Z47)</f>
        <v>0</v>
      </c>
      <c r="AB47" s="63"/>
      <c r="AC47" s="63"/>
      <c r="AD47" s="63"/>
      <c r="AE47" s="61">
        <f>SUM(AB47:AD47)</f>
        <v>0</v>
      </c>
      <c r="AF47" s="68">
        <f t="shared" si="1"/>
        <v>0</v>
      </c>
    </row>
    <row r="48" spans="1:32" hidden="1" x14ac:dyDescent="0.35">
      <c r="B48" s="54"/>
      <c r="C48" s="60" t="s">
        <v>228</v>
      </c>
      <c r="D48" s="60"/>
      <c r="E48" s="60"/>
      <c r="F48" s="60"/>
      <c r="G48" s="61">
        <f>SUM(D48:F48)</f>
        <v>0</v>
      </c>
      <c r="H48" s="60"/>
      <c r="I48" s="60"/>
      <c r="J48" s="60"/>
      <c r="K48" s="61">
        <f>SUM(H48:J48)</f>
        <v>0</v>
      </c>
      <c r="L48" s="60"/>
      <c r="M48" s="60"/>
      <c r="N48" s="60"/>
      <c r="O48" s="61">
        <f>SUM(L48:N48)</f>
        <v>0</v>
      </c>
      <c r="P48" s="60"/>
      <c r="Q48" s="60"/>
      <c r="R48" s="60"/>
      <c r="S48" s="61">
        <f>SUM(P48:R48)</f>
        <v>0</v>
      </c>
      <c r="T48" s="60"/>
      <c r="U48" s="60"/>
      <c r="V48" s="60"/>
      <c r="W48" s="61">
        <f>SUM(T48:V48)</f>
        <v>0</v>
      </c>
      <c r="X48" s="60"/>
      <c r="Y48" s="60"/>
      <c r="Z48" s="60"/>
      <c r="AA48" s="61">
        <f>SUM(X48:Z48)</f>
        <v>0</v>
      </c>
      <c r="AB48" s="60"/>
      <c r="AC48" s="60"/>
      <c r="AD48" s="60"/>
      <c r="AE48" s="61">
        <f>SUM(AB48:AD48)</f>
        <v>0</v>
      </c>
      <c r="AF48" s="68">
        <f t="shared" si="1"/>
        <v>0</v>
      </c>
    </row>
    <row r="49" spans="1:32" hidden="1" x14ac:dyDescent="0.35">
      <c r="B49" s="54"/>
      <c r="C49" s="63" t="s">
        <v>235</v>
      </c>
      <c r="D49" s="63"/>
      <c r="E49" s="63"/>
      <c r="F49" s="63"/>
      <c r="G49" s="61">
        <f>SUM(D49:F49)</f>
        <v>0</v>
      </c>
      <c r="H49" s="63"/>
      <c r="I49" s="63"/>
      <c r="J49" s="63"/>
      <c r="K49" s="61">
        <f>SUM(H49:J49)</f>
        <v>0</v>
      </c>
      <c r="L49" s="63"/>
      <c r="M49" s="63"/>
      <c r="N49" s="63"/>
      <c r="O49" s="61">
        <f>SUM(L49:N49)</f>
        <v>0</v>
      </c>
      <c r="P49" s="63"/>
      <c r="Q49" s="63"/>
      <c r="R49" s="63"/>
      <c r="S49" s="61">
        <f>SUM(P49:R49)</f>
        <v>0</v>
      </c>
      <c r="T49" s="63"/>
      <c r="U49" s="63"/>
      <c r="V49" s="63"/>
      <c r="W49" s="61">
        <f>SUM(T49:V49)</f>
        <v>0</v>
      </c>
      <c r="X49" s="63"/>
      <c r="Y49" s="63"/>
      <c r="Z49" s="63"/>
      <c r="AA49" s="61">
        <f>SUM(X49:Z49)</f>
        <v>0</v>
      </c>
      <c r="AB49" s="63"/>
      <c r="AC49" s="63"/>
      <c r="AD49" s="63"/>
      <c r="AE49" s="61">
        <f>SUM(AB49:AD49)</f>
        <v>0</v>
      </c>
      <c r="AF49" s="68">
        <f t="shared" si="1"/>
        <v>0</v>
      </c>
    </row>
    <row r="50" spans="1:32" hidden="1" x14ac:dyDescent="0.35">
      <c r="A50" s="66" t="s">
        <v>397</v>
      </c>
      <c r="B50" s="67"/>
      <c r="C50" s="73"/>
      <c r="D50" s="73">
        <f t="shared" ref="D50:AE50" si="11">SUM(D46:D49)</f>
        <v>0</v>
      </c>
      <c r="E50" s="73">
        <f t="shared" si="11"/>
        <v>0</v>
      </c>
      <c r="F50" s="73">
        <f t="shared" si="11"/>
        <v>0</v>
      </c>
      <c r="G50" s="56">
        <f t="shared" si="11"/>
        <v>0</v>
      </c>
      <c r="H50" s="73">
        <f t="shared" si="11"/>
        <v>0</v>
      </c>
      <c r="I50" s="73">
        <f t="shared" si="11"/>
        <v>0</v>
      </c>
      <c r="J50" s="73">
        <f t="shared" si="11"/>
        <v>0</v>
      </c>
      <c r="K50" s="56">
        <f t="shared" si="11"/>
        <v>0</v>
      </c>
      <c r="L50" s="73">
        <f t="shared" si="11"/>
        <v>0</v>
      </c>
      <c r="M50" s="73">
        <f t="shared" si="11"/>
        <v>0</v>
      </c>
      <c r="N50" s="73">
        <f t="shared" si="11"/>
        <v>0</v>
      </c>
      <c r="O50" s="56">
        <f t="shared" si="11"/>
        <v>0</v>
      </c>
      <c r="P50" s="73">
        <f t="shared" si="11"/>
        <v>0</v>
      </c>
      <c r="Q50" s="73">
        <f t="shared" si="11"/>
        <v>0</v>
      </c>
      <c r="R50" s="73">
        <f t="shared" si="11"/>
        <v>0</v>
      </c>
      <c r="S50" s="56">
        <f t="shared" si="11"/>
        <v>0</v>
      </c>
      <c r="T50" s="73">
        <f t="shared" si="11"/>
        <v>0</v>
      </c>
      <c r="U50" s="73">
        <f t="shared" si="11"/>
        <v>0</v>
      </c>
      <c r="V50" s="73">
        <f t="shared" si="11"/>
        <v>0</v>
      </c>
      <c r="W50" s="56">
        <f t="shared" si="11"/>
        <v>0</v>
      </c>
      <c r="X50" s="73">
        <f t="shared" si="11"/>
        <v>0</v>
      </c>
      <c r="Y50" s="73">
        <f t="shared" si="11"/>
        <v>0</v>
      </c>
      <c r="Z50" s="73">
        <f t="shared" si="11"/>
        <v>0</v>
      </c>
      <c r="AA50" s="56">
        <f t="shared" si="11"/>
        <v>0</v>
      </c>
      <c r="AB50" s="73">
        <f t="shared" si="11"/>
        <v>0</v>
      </c>
      <c r="AC50" s="73">
        <f t="shared" si="11"/>
        <v>0</v>
      </c>
      <c r="AD50" s="73">
        <f t="shared" si="11"/>
        <v>0</v>
      </c>
      <c r="AE50" s="56">
        <f t="shared" si="11"/>
        <v>0</v>
      </c>
      <c r="AF50" s="74">
        <f t="shared" si="1"/>
        <v>0</v>
      </c>
    </row>
    <row r="51" spans="1:32" x14ac:dyDescent="0.35">
      <c r="A51" s="66" t="s">
        <v>247</v>
      </c>
      <c r="B51" s="67" t="s">
        <v>248</v>
      </c>
      <c r="C51" s="66"/>
      <c r="D51" s="66">
        <f t="shared" ref="D51:AE51" si="12">SUM(D50,D45)</f>
        <v>1</v>
      </c>
      <c r="E51" s="66">
        <f t="shared" si="12"/>
        <v>0</v>
      </c>
      <c r="F51" s="66">
        <f t="shared" si="12"/>
        <v>0</v>
      </c>
      <c r="G51" s="61">
        <f t="shared" si="12"/>
        <v>1</v>
      </c>
      <c r="H51" s="66">
        <f t="shared" si="12"/>
        <v>0</v>
      </c>
      <c r="I51" s="66">
        <f t="shared" si="12"/>
        <v>0</v>
      </c>
      <c r="J51" s="66">
        <f t="shared" si="12"/>
        <v>0</v>
      </c>
      <c r="K51" s="61">
        <f t="shared" si="12"/>
        <v>0</v>
      </c>
      <c r="L51" s="66">
        <f t="shared" si="12"/>
        <v>0</v>
      </c>
      <c r="M51" s="66">
        <f t="shared" si="12"/>
        <v>0</v>
      </c>
      <c r="N51" s="66">
        <f t="shared" si="12"/>
        <v>0</v>
      </c>
      <c r="O51" s="61">
        <f t="shared" si="12"/>
        <v>0</v>
      </c>
      <c r="P51" s="66">
        <f t="shared" si="12"/>
        <v>1</v>
      </c>
      <c r="Q51" s="66">
        <f t="shared" si="12"/>
        <v>0</v>
      </c>
      <c r="R51" s="66">
        <f t="shared" si="12"/>
        <v>0</v>
      </c>
      <c r="S51" s="61">
        <f t="shared" si="12"/>
        <v>1</v>
      </c>
      <c r="T51" s="66">
        <f t="shared" si="12"/>
        <v>7</v>
      </c>
      <c r="U51" s="66">
        <f t="shared" si="12"/>
        <v>0</v>
      </c>
      <c r="V51" s="66">
        <f t="shared" si="12"/>
        <v>0</v>
      </c>
      <c r="W51" s="61">
        <f t="shared" si="12"/>
        <v>7</v>
      </c>
      <c r="X51" s="66">
        <f t="shared" si="12"/>
        <v>1</v>
      </c>
      <c r="Y51" s="66">
        <f t="shared" si="12"/>
        <v>0</v>
      </c>
      <c r="Z51" s="66">
        <f t="shared" si="12"/>
        <v>0</v>
      </c>
      <c r="AA51" s="61">
        <f t="shared" si="12"/>
        <v>1</v>
      </c>
      <c r="AB51" s="66">
        <f t="shared" si="12"/>
        <v>0</v>
      </c>
      <c r="AC51" s="66">
        <f t="shared" si="12"/>
        <v>0</v>
      </c>
      <c r="AD51" s="66">
        <f t="shared" si="12"/>
        <v>0</v>
      </c>
      <c r="AE51" s="61">
        <f t="shared" si="12"/>
        <v>0</v>
      </c>
      <c r="AF51" s="68">
        <f t="shared" si="1"/>
        <v>10</v>
      </c>
    </row>
    <row r="52" spans="1:32" hidden="1" x14ac:dyDescent="0.35">
      <c r="A52" s="59" t="s">
        <v>251</v>
      </c>
      <c r="B52" s="54">
        <v>25</v>
      </c>
      <c r="C52" s="60" t="s">
        <v>225</v>
      </c>
      <c r="D52" s="60"/>
      <c r="E52" s="60"/>
      <c r="F52" s="60"/>
      <c r="G52" s="61">
        <f>SUM(D52:F52)</f>
        <v>0</v>
      </c>
      <c r="H52" s="60"/>
      <c r="I52" s="60"/>
      <c r="J52" s="60"/>
      <c r="K52" s="61">
        <f>SUM(H52:J52)</f>
        <v>0</v>
      </c>
      <c r="L52" s="60"/>
      <c r="M52" s="60"/>
      <c r="N52" s="60"/>
      <c r="O52" s="61">
        <f>SUM(L52:N52)</f>
        <v>0</v>
      </c>
      <c r="P52" s="60"/>
      <c r="Q52" s="60"/>
      <c r="R52" s="60"/>
      <c r="S52" s="61">
        <f>SUM(P52:R52)</f>
        <v>0</v>
      </c>
      <c r="T52" s="60"/>
      <c r="U52" s="60"/>
      <c r="V52" s="60"/>
      <c r="W52" s="61">
        <f>SUM(T52:V52)</f>
        <v>0</v>
      </c>
      <c r="X52" s="60"/>
      <c r="Y52" s="60"/>
      <c r="Z52" s="60"/>
      <c r="AA52" s="61">
        <f>SUM(X52:Z52)</f>
        <v>0</v>
      </c>
      <c r="AB52" s="60"/>
      <c r="AC52" s="60"/>
      <c r="AD52" s="60"/>
      <c r="AE52" s="61">
        <f>SUM(AB52:AD52)</f>
        <v>0</v>
      </c>
      <c r="AF52" s="68">
        <f t="shared" si="1"/>
        <v>0</v>
      </c>
    </row>
    <row r="53" spans="1:32" hidden="1" x14ac:dyDescent="0.35">
      <c r="A53" s="112" t="s">
        <v>245</v>
      </c>
      <c r="B53" s="54"/>
      <c r="C53" s="63" t="s">
        <v>227</v>
      </c>
      <c r="D53" s="63"/>
      <c r="E53" s="63"/>
      <c r="F53" s="63"/>
      <c r="G53" s="61">
        <f>SUM(D53:F53)</f>
        <v>0</v>
      </c>
      <c r="H53" s="63"/>
      <c r="I53" s="63"/>
      <c r="J53" s="63"/>
      <c r="K53" s="61">
        <f>SUM(H53:J53)</f>
        <v>0</v>
      </c>
      <c r="L53" s="63"/>
      <c r="M53" s="63"/>
      <c r="N53" s="63"/>
      <c r="O53" s="61">
        <f>SUM(L53:N53)</f>
        <v>0</v>
      </c>
      <c r="P53" s="63"/>
      <c r="Q53" s="63"/>
      <c r="R53" s="63"/>
      <c r="S53" s="61">
        <f>SUM(P53:R53)</f>
        <v>0</v>
      </c>
      <c r="T53" s="63"/>
      <c r="U53" s="63"/>
      <c r="V53" s="63"/>
      <c r="W53" s="61">
        <f>SUM(T53:V53)</f>
        <v>0</v>
      </c>
      <c r="X53" s="63"/>
      <c r="Y53" s="63"/>
      <c r="Z53" s="63"/>
      <c r="AA53" s="61">
        <f>SUM(X53:Z53)</f>
        <v>0</v>
      </c>
      <c r="AB53" s="63"/>
      <c r="AC53" s="63"/>
      <c r="AD53" s="63"/>
      <c r="AE53" s="61">
        <f>SUM(AB53:AD53)</f>
        <v>0</v>
      </c>
      <c r="AF53" s="68">
        <f t="shared" si="1"/>
        <v>0</v>
      </c>
    </row>
    <row r="54" spans="1:32" hidden="1" x14ac:dyDescent="0.35">
      <c r="A54" s="112"/>
      <c r="B54" s="54"/>
      <c r="C54" s="60" t="s">
        <v>228</v>
      </c>
      <c r="D54" s="60"/>
      <c r="E54" s="60"/>
      <c r="F54" s="60"/>
      <c r="G54" s="61">
        <f>SUM(D54:F54)</f>
        <v>0</v>
      </c>
      <c r="H54" s="60"/>
      <c r="I54" s="60"/>
      <c r="J54" s="60"/>
      <c r="K54" s="61">
        <f>SUM(H54:J54)</f>
        <v>0</v>
      </c>
      <c r="L54" s="60"/>
      <c r="M54" s="60"/>
      <c r="N54" s="60"/>
      <c r="O54" s="61">
        <f>SUM(L54:N54)</f>
        <v>0</v>
      </c>
      <c r="P54" s="60"/>
      <c r="Q54" s="60"/>
      <c r="R54" s="60"/>
      <c r="S54" s="61">
        <f>SUM(P54:R54)</f>
        <v>0</v>
      </c>
      <c r="T54" s="60"/>
      <c r="U54" s="60"/>
      <c r="V54" s="60"/>
      <c r="W54" s="61">
        <f>SUM(T54:V54)</f>
        <v>0</v>
      </c>
      <c r="X54" s="60"/>
      <c r="Y54" s="60"/>
      <c r="Z54" s="60"/>
      <c r="AA54" s="61">
        <f>SUM(X54:Z54)</f>
        <v>0</v>
      </c>
      <c r="AB54" s="60"/>
      <c r="AC54" s="60"/>
      <c r="AD54" s="60"/>
      <c r="AE54" s="61">
        <f>SUM(AB54:AD54)</f>
        <v>0</v>
      </c>
      <c r="AF54" s="68">
        <f t="shared" si="1"/>
        <v>0</v>
      </c>
    </row>
    <row r="55" spans="1:32" hidden="1" x14ac:dyDescent="0.35">
      <c r="B55" s="54"/>
      <c r="C55" s="63" t="s">
        <v>235</v>
      </c>
      <c r="D55" s="63"/>
      <c r="E55" s="63"/>
      <c r="F55" s="63"/>
      <c r="G55" s="61">
        <f>SUM(D55:F55)</f>
        <v>0</v>
      </c>
      <c r="H55" s="63"/>
      <c r="I55" s="63"/>
      <c r="J55" s="63"/>
      <c r="K55" s="61">
        <f>SUM(H55:J55)</f>
        <v>0</v>
      </c>
      <c r="L55" s="63"/>
      <c r="M55" s="63"/>
      <c r="N55" s="63"/>
      <c r="O55" s="61">
        <f>SUM(L55:N55)</f>
        <v>0</v>
      </c>
      <c r="P55" s="63"/>
      <c r="Q55" s="63"/>
      <c r="R55" s="63"/>
      <c r="S55" s="61">
        <f>SUM(P55:R55)</f>
        <v>0</v>
      </c>
      <c r="T55" s="63"/>
      <c r="U55" s="63"/>
      <c r="V55" s="63"/>
      <c r="W55" s="61">
        <f>SUM(T55:V55)</f>
        <v>0</v>
      </c>
      <c r="X55" s="63"/>
      <c r="Y55" s="63"/>
      <c r="Z55" s="63"/>
      <c r="AA55" s="61">
        <f>SUM(X55:Z55)</f>
        <v>0</v>
      </c>
      <c r="AB55" s="63"/>
      <c r="AC55" s="63"/>
      <c r="AD55" s="63"/>
      <c r="AE55" s="61">
        <f>SUM(AB55:AD55)</f>
        <v>0</v>
      </c>
      <c r="AF55" s="68">
        <f t="shared" si="1"/>
        <v>0</v>
      </c>
    </row>
    <row r="56" spans="1:32" x14ac:dyDescent="0.35">
      <c r="A56" s="66" t="s">
        <v>252</v>
      </c>
      <c r="B56" s="67">
        <v>25</v>
      </c>
      <c r="C56" s="66"/>
      <c r="D56" s="66">
        <f t="shared" ref="D56:AE56" si="13">SUM(D52:D55)</f>
        <v>0</v>
      </c>
      <c r="E56" s="66">
        <f t="shared" si="13"/>
        <v>0</v>
      </c>
      <c r="F56" s="66">
        <f t="shared" si="13"/>
        <v>0</v>
      </c>
      <c r="G56" s="61">
        <f t="shared" si="13"/>
        <v>0</v>
      </c>
      <c r="H56" s="66">
        <f t="shared" si="13"/>
        <v>0</v>
      </c>
      <c r="I56" s="66">
        <f t="shared" si="13"/>
        <v>0</v>
      </c>
      <c r="J56" s="66">
        <f t="shared" si="13"/>
        <v>0</v>
      </c>
      <c r="K56" s="61">
        <f t="shared" si="13"/>
        <v>0</v>
      </c>
      <c r="L56" s="66">
        <f t="shared" si="13"/>
        <v>0</v>
      </c>
      <c r="M56" s="66">
        <f t="shared" si="13"/>
        <v>0</v>
      </c>
      <c r="N56" s="66">
        <f t="shared" si="13"/>
        <v>0</v>
      </c>
      <c r="O56" s="61">
        <f t="shared" si="13"/>
        <v>0</v>
      </c>
      <c r="P56" s="66">
        <f t="shared" si="13"/>
        <v>0</v>
      </c>
      <c r="Q56" s="66">
        <f t="shared" si="13"/>
        <v>0</v>
      </c>
      <c r="R56" s="66">
        <f t="shared" si="13"/>
        <v>0</v>
      </c>
      <c r="S56" s="61">
        <f t="shared" si="13"/>
        <v>0</v>
      </c>
      <c r="T56" s="66">
        <f t="shared" si="13"/>
        <v>0</v>
      </c>
      <c r="U56" s="66">
        <f t="shared" si="13"/>
        <v>0</v>
      </c>
      <c r="V56" s="66">
        <f t="shared" si="13"/>
        <v>0</v>
      </c>
      <c r="W56" s="61">
        <f t="shared" si="13"/>
        <v>0</v>
      </c>
      <c r="X56" s="66">
        <f t="shared" si="13"/>
        <v>0</v>
      </c>
      <c r="Y56" s="66">
        <f t="shared" si="13"/>
        <v>0</v>
      </c>
      <c r="Z56" s="66">
        <f t="shared" si="13"/>
        <v>0</v>
      </c>
      <c r="AA56" s="61">
        <f t="shared" si="13"/>
        <v>0</v>
      </c>
      <c r="AB56" s="66">
        <f t="shared" si="13"/>
        <v>0</v>
      </c>
      <c r="AC56" s="66">
        <f t="shared" si="13"/>
        <v>0</v>
      </c>
      <c r="AD56" s="66">
        <f t="shared" si="13"/>
        <v>0</v>
      </c>
      <c r="AE56" s="61">
        <f t="shared" si="13"/>
        <v>0</v>
      </c>
      <c r="AF56" s="68">
        <f t="shared" si="1"/>
        <v>0</v>
      </c>
    </row>
    <row r="57" spans="1:32" hidden="1" x14ac:dyDescent="0.35">
      <c r="A57" s="59" t="s">
        <v>403</v>
      </c>
      <c r="B57" s="54" t="s">
        <v>255</v>
      </c>
      <c r="C57" s="60" t="s">
        <v>225</v>
      </c>
      <c r="D57" s="60"/>
      <c r="E57" s="60"/>
      <c r="F57" s="60"/>
      <c r="G57" s="61">
        <f>SUM(D57:F57)</f>
        <v>0</v>
      </c>
      <c r="H57" s="60"/>
      <c r="I57" s="60"/>
      <c r="J57" s="60"/>
      <c r="K57" s="61">
        <f>SUM(H57:J57)</f>
        <v>0</v>
      </c>
      <c r="L57" s="60"/>
      <c r="M57" s="60"/>
      <c r="N57" s="60"/>
      <c r="O57" s="61">
        <f>SUM(L57:N57)</f>
        <v>0</v>
      </c>
      <c r="P57" s="60"/>
      <c r="Q57" s="60"/>
      <c r="R57" s="60"/>
      <c r="S57" s="61">
        <f>SUM(P57:R57)</f>
        <v>0</v>
      </c>
      <c r="T57" s="60"/>
      <c r="U57" s="60"/>
      <c r="V57" s="60"/>
      <c r="W57" s="61">
        <f>SUM(T57:V57)</f>
        <v>0</v>
      </c>
      <c r="X57" s="60"/>
      <c r="Y57" s="60"/>
      <c r="Z57" s="60"/>
      <c r="AA57" s="61">
        <f>SUM(X57:Z57)</f>
        <v>0</v>
      </c>
      <c r="AB57" s="60"/>
      <c r="AC57" s="60"/>
      <c r="AD57" s="60"/>
      <c r="AE57" s="61">
        <f>SUM(AB57:AD57)</f>
        <v>0</v>
      </c>
      <c r="AF57" s="68">
        <f t="shared" si="1"/>
        <v>0</v>
      </c>
    </row>
    <row r="58" spans="1:32" hidden="1" x14ac:dyDescent="0.35">
      <c r="A58" s="111" t="s">
        <v>254</v>
      </c>
      <c r="B58" s="54"/>
      <c r="C58" s="63" t="s">
        <v>227</v>
      </c>
      <c r="D58" s="63"/>
      <c r="E58" s="63"/>
      <c r="F58" s="63"/>
      <c r="G58" s="61">
        <f>SUM(D58:F58)</f>
        <v>0</v>
      </c>
      <c r="H58" s="63"/>
      <c r="I58" s="63"/>
      <c r="J58" s="63"/>
      <c r="K58" s="61">
        <f>SUM(H58:J58)</f>
        <v>0</v>
      </c>
      <c r="L58" s="63"/>
      <c r="M58" s="63"/>
      <c r="N58" s="63"/>
      <c r="O58" s="61">
        <f>SUM(L58:N58)</f>
        <v>0</v>
      </c>
      <c r="P58" s="63"/>
      <c r="Q58" s="63"/>
      <c r="R58" s="63"/>
      <c r="S58" s="61">
        <f>SUM(P58:R58)</f>
        <v>0</v>
      </c>
      <c r="T58" s="63"/>
      <c r="U58" s="63"/>
      <c r="V58" s="63"/>
      <c r="W58" s="61">
        <f>SUM(T58:V58)</f>
        <v>0</v>
      </c>
      <c r="X58" s="63"/>
      <c r="Y58" s="63"/>
      <c r="Z58" s="63"/>
      <c r="AA58" s="61">
        <f>SUM(X58:Z58)</f>
        <v>0</v>
      </c>
      <c r="AB58" s="63"/>
      <c r="AC58" s="63"/>
      <c r="AD58" s="63"/>
      <c r="AE58" s="61">
        <f>SUM(AB58:AD58)</f>
        <v>0</v>
      </c>
      <c r="AF58" s="68">
        <f t="shared" si="1"/>
        <v>0</v>
      </c>
    </row>
    <row r="59" spans="1:32" hidden="1" x14ac:dyDescent="0.35">
      <c r="A59" s="111"/>
      <c r="B59" s="54"/>
      <c r="C59" s="60" t="s">
        <v>228</v>
      </c>
      <c r="D59" s="60"/>
      <c r="E59" s="60"/>
      <c r="F59" s="60"/>
      <c r="G59" s="61">
        <f>SUM(D59:F59)</f>
        <v>0</v>
      </c>
      <c r="H59" s="60"/>
      <c r="I59" s="60"/>
      <c r="J59" s="60"/>
      <c r="K59" s="61">
        <f>SUM(H59:J59)</f>
        <v>0</v>
      </c>
      <c r="L59" s="60"/>
      <c r="M59" s="60"/>
      <c r="N59" s="60"/>
      <c r="O59" s="61">
        <f>SUM(L59:N59)</f>
        <v>0</v>
      </c>
      <c r="P59" s="60"/>
      <c r="Q59" s="60"/>
      <c r="R59" s="60"/>
      <c r="S59" s="61">
        <f>SUM(P59:R59)</f>
        <v>0</v>
      </c>
      <c r="T59" s="60"/>
      <c r="U59" s="60"/>
      <c r="V59" s="60"/>
      <c r="W59" s="61">
        <f>SUM(T59:V59)</f>
        <v>0</v>
      </c>
      <c r="X59" s="60"/>
      <c r="Y59" s="60"/>
      <c r="Z59" s="60"/>
      <c r="AA59" s="61">
        <f>SUM(X59:Z59)</f>
        <v>0</v>
      </c>
      <c r="AB59" s="60"/>
      <c r="AC59" s="60"/>
      <c r="AD59" s="60"/>
      <c r="AE59" s="61">
        <f>SUM(AB59:AD59)</f>
        <v>0</v>
      </c>
      <c r="AF59" s="68">
        <f t="shared" si="1"/>
        <v>0</v>
      </c>
    </row>
    <row r="60" spans="1:32" hidden="1" x14ac:dyDescent="0.35">
      <c r="B60" s="54"/>
      <c r="C60" s="63" t="s">
        <v>235</v>
      </c>
      <c r="D60" s="63"/>
      <c r="E60" s="63"/>
      <c r="F60" s="63"/>
      <c r="G60" s="61">
        <f>SUM(D60:F60)</f>
        <v>0</v>
      </c>
      <c r="H60" s="63"/>
      <c r="I60" s="63"/>
      <c r="J60" s="63"/>
      <c r="K60" s="61">
        <f>SUM(H60:J60)</f>
        <v>0</v>
      </c>
      <c r="L60" s="63"/>
      <c r="M60" s="63"/>
      <c r="N60" s="63"/>
      <c r="O60" s="61">
        <f>SUM(L60:N60)</f>
        <v>0</v>
      </c>
      <c r="P60" s="63"/>
      <c r="Q60" s="63"/>
      <c r="R60" s="63"/>
      <c r="S60" s="61">
        <f>SUM(P60:R60)</f>
        <v>0</v>
      </c>
      <c r="T60" s="63"/>
      <c r="U60" s="63"/>
      <c r="V60" s="63"/>
      <c r="W60" s="61">
        <f>SUM(T60:V60)</f>
        <v>0</v>
      </c>
      <c r="X60" s="63"/>
      <c r="Y60" s="63"/>
      <c r="Z60" s="63"/>
      <c r="AA60" s="61">
        <f>SUM(X60:Z60)</f>
        <v>0</v>
      </c>
      <c r="AB60" s="63"/>
      <c r="AC60" s="63"/>
      <c r="AD60" s="63"/>
      <c r="AE60" s="61">
        <f>SUM(AB60:AD60)</f>
        <v>0</v>
      </c>
      <c r="AF60" s="68">
        <f t="shared" si="1"/>
        <v>0</v>
      </c>
    </row>
    <row r="61" spans="1:32" x14ac:dyDescent="0.35">
      <c r="A61" s="66" t="s">
        <v>403</v>
      </c>
      <c r="B61" s="67" t="s">
        <v>255</v>
      </c>
      <c r="C61" s="66"/>
      <c r="D61" s="66">
        <f t="shared" ref="D61:AE61" si="14">SUM(D57:D60)</f>
        <v>0</v>
      </c>
      <c r="E61" s="66">
        <f t="shared" si="14"/>
        <v>0</v>
      </c>
      <c r="F61" s="66">
        <f t="shared" si="14"/>
        <v>0</v>
      </c>
      <c r="G61" s="61">
        <f t="shared" si="14"/>
        <v>0</v>
      </c>
      <c r="H61" s="66">
        <f t="shared" si="14"/>
        <v>0</v>
      </c>
      <c r="I61" s="66">
        <f t="shared" si="14"/>
        <v>0</v>
      </c>
      <c r="J61" s="66">
        <f t="shared" si="14"/>
        <v>0</v>
      </c>
      <c r="K61" s="61">
        <f t="shared" si="14"/>
        <v>0</v>
      </c>
      <c r="L61" s="66">
        <f t="shared" si="14"/>
        <v>0</v>
      </c>
      <c r="M61" s="66">
        <f t="shared" si="14"/>
        <v>0</v>
      </c>
      <c r="N61" s="66">
        <f t="shared" si="14"/>
        <v>0</v>
      </c>
      <c r="O61" s="61">
        <f t="shared" si="14"/>
        <v>0</v>
      </c>
      <c r="P61" s="66">
        <f t="shared" si="14"/>
        <v>0</v>
      </c>
      <c r="Q61" s="66">
        <f t="shared" si="14"/>
        <v>0</v>
      </c>
      <c r="R61" s="66">
        <f t="shared" si="14"/>
        <v>0</v>
      </c>
      <c r="S61" s="61">
        <f t="shared" si="14"/>
        <v>0</v>
      </c>
      <c r="T61" s="66">
        <f t="shared" si="14"/>
        <v>0</v>
      </c>
      <c r="U61" s="66">
        <f t="shared" si="14"/>
        <v>0</v>
      </c>
      <c r="V61" s="66">
        <f t="shared" si="14"/>
        <v>0</v>
      </c>
      <c r="W61" s="61">
        <f t="shared" si="14"/>
        <v>0</v>
      </c>
      <c r="X61" s="66">
        <f t="shared" si="14"/>
        <v>0</v>
      </c>
      <c r="Y61" s="66">
        <f t="shared" si="14"/>
        <v>0</v>
      </c>
      <c r="Z61" s="66">
        <f t="shared" si="14"/>
        <v>0</v>
      </c>
      <c r="AA61" s="61">
        <f t="shared" si="14"/>
        <v>0</v>
      </c>
      <c r="AB61" s="66">
        <f t="shared" si="14"/>
        <v>0</v>
      </c>
      <c r="AC61" s="66">
        <f t="shared" si="14"/>
        <v>0</v>
      </c>
      <c r="AD61" s="66">
        <f t="shared" si="14"/>
        <v>0</v>
      </c>
      <c r="AE61" s="61">
        <f t="shared" si="14"/>
        <v>0</v>
      </c>
      <c r="AF61" s="68">
        <f t="shared" si="1"/>
        <v>0</v>
      </c>
    </row>
    <row r="62" spans="1:32" hidden="1" x14ac:dyDescent="0.35">
      <c r="A62" s="59" t="s">
        <v>256</v>
      </c>
      <c r="B62" s="54">
        <v>25</v>
      </c>
      <c r="C62" s="60" t="s">
        <v>225</v>
      </c>
      <c r="D62" s="60"/>
      <c r="E62" s="60"/>
      <c r="F62" s="60"/>
      <c r="G62" s="61">
        <f>SUM(D62:F62)</f>
        <v>0</v>
      </c>
      <c r="H62" s="60"/>
      <c r="I62" s="60"/>
      <c r="J62" s="60"/>
      <c r="K62" s="61">
        <f>SUM(H62:J62)</f>
        <v>0</v>
      </c>
      <c r="L62" s="60">
        <v>1</v>
      </c>
      <c r="M62" s="60"/>
      <c r="N62" s="60"/>
      <c r="O62" s="61">
        <f>SUM(L62:N62)</f>
        <v>1</v>
      </c>
      <c r="P62" s="60"/>
      <c r="Q62" s="60"/>
      <c r="R62" s="60"/>
      <c r="S62" s="61">
        <f>SUM(P62:R62)</f>
        <v>0</v>
      </c>
      <c r="T62" s="60">
        <v>1</v>
      </c>
      <c r="U62" s="60"/>
      <c r="V62" s="60"/>
      <c r="W62" s="61">
        <f>SUM(T62:V62)</f>
        <v>1</v>
      </c>
      <c r="X62" s="60"/>
      <c r="Y62" s="60"/>
      <c r="Z62" s="60"/>
      <c r="AA62" s="61">
        <f>SUM(X62:Z62)</f>
        <v>0</v>
      </c>
      <c r="AB62" s="60"/>
      <c r="AC62" s="60"/>
      <c r="AD62" s="60"/>
      <c r="AE62" s="61">
        <f>SUM(AB62:AD62)</f>
        <v>0</v>
      </c>
      <c r="AF62" s="68">
        <f t="shared" si="1"/>
        <v>2</v>
      </c>
    </row>
    <row r="63" spans="1:32" hidden="1" x14ac:dyDescent="0.35">
      <c r="A63" s="112" t="s">
        <v>257</v>
      </c>
      <c r="B63" s="54"/>
      <c r="C63" s="63" t="s">
        <v>227</v>
      </c>
      <c r="D63" s="63"/>
      <c r="E63" s="63"/>
      <c r="F63" s="63"/>
      <c r="G63" s="61">
        <f>SUM(D63:F63)</f>
        <v>0</v>
      </c>
      <c r="H63" s="63"/>
      <c r="I63" s="63"/>
      <c r="J63" s="63"/>
      <c r="K63" s="61">
        <f>SUM(H63:J63)</f>
        <v>0</v>
      </c>
      <c r="L63" s="63"/>
      <c r="M63" s="63"/>
      <c r="N63" s="63"/>
      <c r="O63" s="61">
        <f>SUM(L63:N63)</f>
        <v>0</v>
      </c>
      <c r="P63" s="63"/>
      <c r="Q63" s="63"/>
      <c r="R63" s="63"/>
      <c r="S63" s="61">
        <f>SUM(P63:R63)</f>
        <v>0</v>
      </c>
      <c r="T63" s="63">
        <v>21</v>
      </c>
      <c r="U63" s="63"/>
      <c r="V63" s="63"/>
      <c r="W63" s="61">
        <f>SUM(T63:V63)</f>
        <v>21</v>
      </c>
      <c r="X63" s="63"/>
      <c r="Y63" s="63"/>
      <c r="Z63" s="63"/>
      <c r="AA63" s="61">
        <f>SUM(X63:Z63)</f>
        <v>0</v>
      </c>
      <c r="AB63" s="63"/>
      <c r="AC63" s="63"/>
      <c r="AD63" s="63"/>
      <c r="AE63" s="61">
        <f>SUM(AB63:AD63)</f>
        <v>0</v>
      </c>
      <c r="AF63" s="68">
        <f t="shared" si="1"/>
        <v>21</v>
      </c>
    </row>
    <row r="64" spans="1:32" hidden="1" x14ac:dyDescent="0.35">
      <c r="A64" s="112"/>
      <c r="B64" s="54"/>
      <c r="C64" s="60" t="s">
        <v>228</v>
      </c>
      <c r="D64" s="60"/>
      <c r="E64" s="60"/>
      <c r="F64" s="60"/>
      <c r="G64" s="61">
        <f>SUM(D64:F64)</f>
        <v>0</v>
      </c>
      <c r="H64" s="60"/>
      <c r="I64" s="60"/>
      <c r="J64" s="60"/>
      <c r="K64" s="61">
        <f>SUM(H64:J64)</f>
        <v>0</v>
      </c>
      <c r="L64" s="60"/>
      <c r="M64" s="60"/>
      <c r="N64" s="60"/>
      <c r="O64" s="61">
        <f>SUM(L64:N64)</f>
        <v>0</v>
      </c>
      <c r="P64" s="60"/>
      <c r="Q64" s="60"/>
      <c r="R64" s="60"/>
      <c r="S64" s="61">
        <f>SUM(P64:R64)</f>
        <v>0</v>
      </c>
      <c r="T64" s="60">
        <v>4</v>
      </c>
      <c r="U64" s="60"/>
      <c r="V64" s="60"/>
      <c r="W64" s="61">
        <f>SUM(T64:V64)</f>
        <v>4</v>
      </c>
      <c r="X64" s="60"/>
      <c r="Y64" s="60"/>
      <c r="Z64" s="60"/>
      <c r="AA64" s="61">
        <f>SUM(X64:Z64)</f>
        <v>0</v>
      </c>
      <c r="AB64" s="60"/>
      <c r="AC64" s="60"/>
      <c r="AD64" s="60"/>
      <c r="AE64" s="61">
        <f>SUM(AB64:AD64)</f>
        <v>0</v>
      </c>
      <c r="AF64" s="68">
        <f t="shared" si="1"/>
        <v>4</v>
      </c>
    </row>
    <row r="65" spans="1:32" hidden="1" x14ac:dyDescent="0.35">
      <c r="B65" s="54"/>
      <c r="C65" s="63" t="s">
        <v>235</v>
      </c>
      <c r="D65" s="63"/>
      <c r="E65" s="63"/>
      <c r="F65" s="63"/>
      <c r="G65" s="61">
        <f>SUM(D65:F65)</f>
        <v>0</v>
      </c>
      <c r="H65" s="63"/>
      <c r="I65" s="63"/>
      <c r="J65" s="63"/>
      <c r="K65" s="61">
        <f>SUM(H65:J65)</f>
        <v>0</v>
      </c>
      <c r="L65" s="63"/>
      <c r="M65" s="63"/>
      <c r="N65" s="63"/>
      <c r="O65" s="61">
        <f>SUM(L65:N65)</f>
        <v>0</v>
      </c>
      <c r="P65" s="63">
        <v>1</v>
      </c>
      <c r="Q65" s="63"/>
      <c r="R65" s="63"/>
      <c r="S65" s="61">
        <f>SUM(P65:R65)</f>
        <v>1</v>
      </c>
      <c r="T65" s="63">
        <v>6</v>
      </c>
      <c r="U65" s="63"/>
      <c r="V65" s="63"/>
      <c r="W65" s="61">
        <f>SUM(T65:V65)</f>
        <v>6</v>
      </c>
      <c r="X65" s="63">
        <v>4</v>
      </c>
      <c r="Y65" s="63"/>
      <c r="Z65" s="63"/>
      <c r="AA65" s="61">
        <f>SUM(X65:Z65)</f>
        <v>4</v>
      </c>
      <c r="AB65" s="63"/>
      <c r="AC65" s="63"/>
      <c r="AD65" s="63"/>
      <c r="AE65" s="61">
        <f>SUM(AB65:AD65)</f>
        <v>0</v>
      </c>
      <c r="AF65" s="68">
        <f t="shared" si="1"/>
        <v>11</v>
      </c>
    </row>
    <row r="66" spans="1:32" x14ac:dyDescent="0.35">
      <c r="A66" s="66" t="s">
        <v>258</v>
      </c>
      <c r="B66" s="67">
        <v>25</v>
      </c>
      <c r="C66" s="66"/>
      <c r="D66" s="66">
        <f t="shared" ref="D66:AE66" si="15">SUM(D62:D65)</f>
        <v>0</v>
      </c>
      <c r="E66" s="66">
        <f t="shared" si="15"/>
        <v>0</v>
      </c>
      <c r="F66" s="66">
        <f t="shared" si="15"/>
        <v>0</v>
      </c>
      <c r="G66" s="61">
        <f t="shared" si="15"/>
        <v>0</v>
      </c>
      <c r="H66" s="66">
        <f t="shared" si="15"/>
        <v>0</v>
      </c>
      <c r="I66" s="66">
        <f t="shared" si="15"/>
        <v>0</v>
      </c>
      <c r="J66" s="66">
        <f t="shared" si="15"/>
        <v>0</v>
      </c>
      <c r="K66" s="61">
        <f t="shared" si="15"/>
        <v>0</v>
      </c>
      <c r="L66" s="66">
        <f t="shared" si="15"/>
        <v>1</v>
      </c>
      <c r="M66" s="66">
        <f t="shared" si="15"/>
        <v>0</v>
      </c>
      <c r="N66" s="66">
        <f t="shared" si="15"/>
        <v>0</v>
      </c>
      <c r="O66" s="61">
        <f t="shared" si="15"/>
        <v>1</v>
      </c>
      <c r="P66" s="66">
        <f t="shared" si="15"/>
        <v>1</v>
      </c>
      <c r="Q66" s="66">
        <f t="shared" si="15"/>
        <v>0</v>
      </c>
      <c r="R66" s="66">
        <f t="shared" si="15"/>
        <v>0</v>
      </c>
      <c r="S66" s="61">
        <f t="shared" si="15"/>
        <v>1</v>
      </c>
      <c r="T66" s="66">
        <f t="shared" si="15"/>
        <v>32</v>
      </c>
      <c r="U66" s="66">
        <f t="shared" si="15"/>
        <v>0</v>
      </c>
      <c r="V66" s="66">
        <f t="shared" si="15"/>
        <v>0</v>
      </c>
      <c r="W66" s="61">
        <f t="shared" si="15"/>
        <v>32</v>
      </c>
      <c r="X66" s="66">
        <f t="shared" si="15"/>
        <v>4</v>
      </c>
      <c r="Y66" s="66">
        <f t="shared" si="15"/>
        <v>0</v>
      </c>
      <c r="Z66" s="66">
        <f t="shared" si="15"/>
        <v>0</v>
      </c>
      <c r="AA66" s="61">
        <f t="shared" si="15"/>
        <v>4</v>
      </c>
      <c r="AB66" s="66">
        <f t="shared" si="15"/>
        <v>0</v>
      </c>
      <c r="AC66" s="66">
        <f t="shared" si="15"/>
        <v>0</v>
      </c>
      <c r="AD66" s="66">
        <f t="shared" si="15"/>
        <v>0</v>
      </c>
      <c r="AE66" s="61">
        <f t="shared" si="15"/>
        <v>0</v>
      </c>
      <c r="AF66" s="68">
        <f t="shared" si="1"/>
        <v>38</v>
      </c>
    </row>
    <row r="67" spans="1:32" hidden="1" x14ac:dyDescent="0.35">
      <c r="A67" s="59" t="s">
        <v>259</v>
      </c>
      <c r="B67" s="54" t="s">
        <v>261</v>
      </c>
      <c r="C67" s="60" t="s">
        <v>225</v>
      </c>
      <c r="D67" s="60"/>
      <c r="E67" s="60"/>
      <c r="F67" s="60"/>
      <c r="G67" s="61">
        <f>SUM(D67:F67)</f>
        <v>0</v>
      </c>
      <c r="H67" s="60"/>
      <c r="I67" s="60"/>
      <c r="J67" s="60"/>
      <c r="K67" s="61">
        <f>SUM(H67:J67)</f>
        <v>0</v>
      </c>
      <c r="L67" s="60"/>
      <c r="M67" s="60"/>
      <c r="N67" s="60"/>
      <c r="O67" s="61">
        <f>SUM(L67:N67)</f>
        <v>0</v>
      </c>
      <c r="P67" s="60"/>
      <c r="Q67" s="60"/>
      <c r="R67" s="60"/>
      <c r="S67" s="61">
        <f>SUM(P67:R67)</f>
        <v>0</v>
      </c>
      <c r="T67" s="60">
        <v>1</v>
      </c>
      <c r="U67" s="60"/>
      <c r="V67" s="60"/>
      <c r="W67" s="61">
        <f>SUM(T67:V67)</f>
        <v>1</v>
      </c>
      <c r="X67" s="60"/>
      <c r="Y67" s="60"/>
      <c r="Z67" s="60"/>
      <c r="AA67" s="61">
        <f>SUM(X67:Z67)</f>
        <v>0</v>
      </c>
      <c r="AB67" s="60"/>
      <c r="AC67" s="60"/>
      <c r="AD67" s="60"/>
      <c r="AE67" s="61">
        <f>SUM(AB67:AD67)</f>
        <v>0</v>
      </c>
      <c r="AF67" s="68">
        <f t="shared" si="1"/>
        <v>1</v>
      </c>
    </row>
    <row r="68" spans="1:32" hidden="1" x14ac:dyDescent="0.35">
      <c r="A68" s="112" t="s">
        <v>260</v>
      </c>
      <c r="B68" s="54"/>
      <c r="C68" s="63" t="s">
        <v>227</v>
      </c>
      <c r="D68" s="63"/>
      <c r="E68" s="63"/>
      <c r="F68" s="63"/>
      <c r="G68" s="61">
        <f>SUM(D68:F68)</f>
        <v>0</v>
      </c>
      <c r="H68" s="63"/>
      <c r="I68" s="63"/>
      <c r="J68" s="63"/>
      <c r="K68" s="61">
        <f>SUM(H68:J68)</f>
        <v>0</v>
      </c>
      <c r="L68" s="63"/>
      <c r="M68" s="63"/>
      <c r="N68" s="63"/>
      <c r="O68" s="61">
        <f>SUM(L68:N68)</f>
        <v>0</v>
      </c>
      <c r="P68" s="63"/>
      <c r="Q68" s="63"/>
      <c r="R68" s="63"/>
      <c r="S68" s="61">
        <f>SUM(P68:R68)</f>
        <v>0</v>
      </c>
      <c r="T68" s="63">
        <v>1</v>
      </c>
      <c r="U68" s="63"/>
      <c r="V68" s="63"/>
      <c r="W68" s="61">
        <f>SUM(T68:V68)</f>
        <v>1</v>
      </c>
      <c r="X68" s="63"/>
      <c r="Y68" s="63"/>
      <c r="Z68" s="63"/>
      <c r="AA68" s="61">
        <f>SUM(X68:Z68)</f>
        <v>0</v>
      </c>
      <c r="AB68" s="63"/>
      <c r="AC68" s="63"/>
      <c r="AD68" s="63"/>
      <c r="AE68" s="61">
        <f>SUM(AB68:AD68)</f>
        <v>0</v>
      </c>
      <c r="AF68" s="68">
        <f t="shared" si="1"/>
        <v>1</v>
      </c>
    </row>
    <row r="69" spans="1:32" hidden="1" x14ac:dyDescent="0.35">
      <c r="A69" s="112"/>
      <c r="B69" s="54"/>
      <c r="C69" s="60" t="s">
        <v>228</v>
      </c>
      <c r="D69" s="60"/>
      <c r="E69" s="60"/>
      <c r="F69" s="60"/>
      <c r="G69" s="61">
        <f>SUM(D69:F69)</f>
        <v>0</v>
      </c>
      <c r="H69" s="60"/>
      <c r="I69" s="60"/>
      <c r="J69" s="60"/>
      <c r="K69" s="61">
        <f>SUM(H69:J69)</f>
        <v>0</v>
      </c>
      <c r="L69" s="60"/>
      <c r="M69" s="60"/>
      <c r="N69" s="60"/>
      <c r="O69" s="61">
        <f>SUM(L69:N69)</f>
        <v>0</v>
      </c>
      <c r="P69" s="60">
        <v>2</v>
      </c>
      <c r="Q69" s="60"/>
      <c r="R69" s="60"/>
      <c r="S69" s="61">
        <f>SUM(P69:R69)</f>
        <v>2</v>
      </c>
      <c r="T69" s="60"/>
      <c r="U69" s="60"/>
      <c r="V69" s="60"/>
      <c r="W69" s="61">
        <f>SUM(T69:V69)</f>
        <v>0</v>
      </c>
      <c r="X69" s="60"/>
      <c r="Y69" s="60"/>
      <c r="Z69" s="60"/>
      <c r="AA69" s="61">
        <f>SUM(X69:Z69)</f>
        <v>0</v>
      </c>
      <c r="AB69" s="60"/>
      <c r="AC69" s="60"/>
      <c r="AD69" s="60"/>
      <c r="AE69" s="61">
        <f>SUM(AB69:AD69)</f>
        <v>0</v>
      </c>
      <c r="AF69" s="68">
        <f t="shared" ref="AF69:AF132" si="16">SUM(G69,K69,O69,S69,W69,AA69,AE69)</f>
        <v>2</v>
      </c>
    </row>
    <row r="70" spans="1:32" hidden="1" x14ac:dyDescent="0.35">
      <c r="B70" s="54"/>
      <c r="C70" s="63" t="s">
        <v>235</v>
      </c>
      <c r="D70" s="63"/>
      <c r="E70" s="63"/>
      <c r="F70" s="63"/>
      <c r="G70" s="61">
        <f>SUM(D70:F70)</f>
        <v>0</v>
      </c>
      <c r="H70" s="63"/>
      <c r="I70" s="63"/>
      <c r="J70" s="63"/>
      <c r="K70" s="61">
        <f>SUM(H70:J70)</f>
        <v>0</v>
      </c>
      <c r="L70" s="63"/>
      <c r="M70" s="63"/>
      <c r="N70" s="63"/>
      <c r="O70" s="61">
        <f>SUM(L70:N70)</f>
        <v>0</v>
      </c>
      <c r="P70" s="63"/>
      <c r="Q70" s="63"/>
      <c r="R70" s="63"/>
      <c r="S70" s="61">
        <f>SUM(P70:R70)</f>
        <v>0</v>
      </c>
      <c r="T70" s="63"/>
      <c r="U70" s="63"/>
      <c r="V70" s="63"/>
      <c r="W70" s="61">
        <f>SUM(T70:V70)</f>
        <v>0</v>
      </c>
      <c r="X70" s="63"/>
      <c r="Y70" s="63"/>
      <c r="Z70" s="63"/>
      <c r="AA70" s="61">
        <f>SUM(X70:Z70)</f>
        <v>0</v>
      </c>
      <c r="AB70" s="63"/>
      <c r="AC70" s="63"/>
      <c r="AD70" s="63"/>
      <c r="AE70" s="61">
        <f>SUM(AB70:AD70)</f>
        <v>0</v>
      </c>
      <c r="AF70" s="68">
        <f t="shared" si="16"/>
        <v>0</v>
      </c>
    </row>
    <row r="71" spans="1:32" x14ac:dyDescent="0.35">
      <c r="A71" s="66" t="s">
        <v>259</v>
      </c>
      <c r="B71" s="67" t="s">
        <v>261</v>
      </c>
      <c r="C71" s="66"/>
      <c r="D71" s="66">
        <f t="shared" ref="D71:AE71" si="17">SUM(D67:D70)</f>
        <v>0</v>
      </c>
      <c r="E71" s="66">
        <f t="shared" si="17"/>
        <v>0</v>
      </c>
      <c r="F71" s="66">
        <f t="shared" si="17"/>
        <v>0</v>
      </c>
      <c r="G71" s="61">
        <f t="shared" si="17"/>
        <v>0</v>
      </c>
      <c r="H71" s="66">
        <f t="shared" si="17"/>
        <v>0</v>
      </c>
      <c r="I71" s="66">
        <f t="shared" si="17"/>
        <v>0</v>
      </c>
      <c r="J71" s="66">
        <f t="shared" si="17"/>
        <v>0</v>
      </c>
      <c r="K71" s="61">
        <f t="shared" si="17"/>
        <v>0</v>
      </c>
      <c r="L71" s="66">
        <f t="shared" si="17"/>
        <v>0</v>
      </c>
      <c r="M71" s="66">
        <f t="shared" si="17"/>
        <v>0</v>
      </c>
      <c r="N71" s="66">
        <f t="shared" si="17"/>
        <v>0</v>
      </c>
      <c r="O71" s="61">
        <f t="shared" si="17"/>
        <v>0</v>
      </c>
      <c r="P71" s="66">
        <f t="shared" si="17"/>
        <v>2</v>
      </c>
      <c r="Q71" s="66">
        <f t="shared" si="17"/>
        <v>0</v>
      </c>
      <c r="R71" s="66">
        <f t="shared" si="17"/>
        <v>0</v>
      </c>
      <c r="S71" s="61">
        <f t="shared" si="17"/>
        <v>2</v>
      </c>
      <c r="T71" s="66">
        <f t="shared" si="17"/>
        <v>2</v>
      </c>
      <c r="U71" s="66">
        <f t="shared" si="17"/>
        <v>0</v>
      </c>
      <c r="V71" s="66">
        <f t="shared" si="17"/>
        <v>0</v>
      </c>
      <c r="W71" s="61">
        <f t="shared" si="17"/>
        <v>2</v>
      </c>
      <c r="X71" s="66">
        <f t="shared" si="17"/>
        <v>0</v>
      </c>
      <c r="Y71" s="66">
        <f t="shared" si="17"/>
        <v>0</v>
      </c>
      <c r="Z71" s="66">
        <f t="shared" si="17"/>
        <v>0</v>
      </c>
      <c r="AA71" s="61">
        <f t="shared" si="17"/>
        <v>0</v>
      </c>
      <c r="AB71" s="66">
        <f t="shared" si="17"/>
        <v>0</v>
      </c>
      <c r="AC71" s="66">
        <f t="shared" si="17"/>
        <v>0</v>
      </c>
      <c r="AD71" s="66">
        <f t="shared" si="17"/>
        <v>0</v>
      </c>
      <c r="AE71" s="61">
        <f t="shared" si="17"/>
        <v>0</v>
      </c>
      <c r="AF71" s="68">
        <f t="shared" si="16"/>
        <v>4</v>
      </c>
    </row>
    <row r="72" spans="1:32" hidden="1" x14ac:dyDescent="0.35">
      <c r="A72" s="59" t="s">
        <v>262</v>
      </c>
      <c r="B72" s="54">
        <v>30</v>
      </c>
      <c r="C72" s="60" t="s">
        <v>225</v>
      </c>
      <c r="D72" s="60"/>
      <c r="E72" s="60"/>
      <c r="F72" s="60"/>
      <c r="G72" s="61">
        <f>SUM(D72:F72)</f>
        <v>0</v>
      </c>
      <c r="H72" s="60"/>
      <c r="I72" s="60"/>
      <c r="J72" s="60"/>
      <c r="K72" s="61">
        <f>SUM(H72:J72)</f>
        <v>0</v>
      </c>
      <c r="L72" s="60"/>
      <c r="M72" s="60"/>
      <c r="N72" s="60"/>
      <c r="O72" s="61">
        <f>SUM(L72:N72)</f>
        <v>0</v>
      </c>
      <c r="P72" s="60"/>
      <c r="Q72" s="60"/>
      <c r="R72" s="60"/>
      <c r="S72" s="61">
        <f>SUM(P72:R72)</f>
        <v>0</v>
      </c>
      <c r="T72" s="60"/>
      <c r="U72" s="60"/>
      <c r="V72" s="60"/>
      <c r="W72" s="61">
        <f>SUM(T72:V72)</f>
        <v>0</v>
      </c>
      <c r="X72" s="60"/>
      <c r="Y72" s="60"/>
      <c r="Z72" s="60"/>
      <c r="AA72" s="61">
        <f>SUM(X72:Z72)</f>
        <v>0</v>
      </c>
      <c r="AB72" s="60"/>
      <c r="AC72" s="60"/>
      <c r="AD72" s="60"/>
      <c r="AE72" s="61">
        <f>SUM(AB72:AD72)</f>
        <v>0</v>
      </c>
      <c r="AF72" s="68">
        <f t="shared" si="16"/>
        <v>0</v>
      </c>
    </row>
    <row r="73" spans="1:32" hidden="1" x14ac:dyDescent="0.35">
      <c r="A73" s="112" t="s">
        <v>263</v>
      </c>
      <c r="B73" s="54"/>
      <c r="C73" s="63" t="s">
        <v>227</v>
      </c>
      <c r="D73" s="63"/>
      <c r="E73" s="63"/>
      <c r="F73" s="63"/>
      <c r="G73" s="61">
        <f>SUM(D73:F73)</f>
        <v>0</v>
      </c>
      <c r="H73" s="63"/>
      <c r="I73" s="63"/>
      <c r="J73" s="63"/>
      <c r="K73" s="61">
        <f>SUM(H73:J73)</f>
        <v>0</v>
      </c>
      <c r="L73" s="63"/>
      <c r="M73" s="63"/>
      <c r="N73" s="63"/>
      <c r="O73" s="61">
        <f>SUM(L73:N73)</f>
        <v>0</v>
      </c>
      <c r="P73" s="63"/>
      <c r="Q73" s="63"/>
      <c r="R73" s="63"/>
      <c r="S73" s="61">
        <f>SUM(P73:R73)</f>
        <v>0</v>
      </c>
      <c r="T73" s="63"/>
      <c r="U73" s="63"/>
      <c r="V73" s="63"/>
      <c r="W73" s="61">
        <f>SUM(T73:V73)</f>
        <v>0</v>
      </c>
      <c r="X73" s="63"/>
      <c r="Y73" s="63"/>
      <c r="Z73" s="63"/>
      <c r="AA73" s="61">
        <f>SUM(X73:Z73)</f>
        <v>0</v>
      </c>
      <c r="AB73" s="63"/>
      <c r="AC73" s="63"/>
      <c r="AD73" s="63"/>
      <c r="AE73" s="61">
        <f>SUM(AB73:AD73)</f>
        <v>0</v>
      </c>
      <c r="AF73" s="68">
        <f t="shared" si="16"/>
        <v>0</v>
      </c>
    </row>
    <row r="74" spans="1:32" hidden="1" x14ac:dyDescent="0.35">
      <c r="A74" s="112"/>
      <c r="B74" s="54"/>
      <c r="C74" s="60" t="s">
        <v>228</v>
      </c>
      <c r="D74" s="60"/>
      <c r="E74" s="60"/>
      <c r="F74" s="60"/>
      <c r="G74" s="61">
        <f>SUM(D74:F74)</f>
        <v>0</v>
      </c>
      <c r="H74" s="60"/>
      <c r="I74" s="60"/>
      <c r="J74" s="60"/>
      <c r="K74" s="61">
        <f>SUM(H74:J74)</f>
        <v>0</v>
      </c>
      <c r="L74" s="60"/>
      <c r="M74" s="60"/>
      <c r="N74" s="60"/>
      <c r="O74" s="61">
        <f>SUM(L74:N74)</f>
        <v>0</v>
      </c>
      <c r="P74" s="60"/>
      <c r="Q74" s="60"/>
      <c r="R74" s="60"/>
      <c r="S74" s="61">
        <f>SUM(P74:R74)</f>
        <v>0</v>
      </c>
      <c r="T74" s="60"/>
      <c r="U74" s="60"/>
      <c r="V74" s="60"/>
      <c r="W74" s="61">
        <f>SUM(T74:V74)</f>
        <v>0</v>
      </c>
      <c r="X74" s="60"/>
      <c r="Y74" s="60"/>
      <c r="Z74" s="60"/>
      <c r="AA74" s="61">
        <f>SUM(X74:Z74)</f>
        <v>0</v>
      </c>
      <c r="AB74" s="60"/>
      <c r="AC74" s="60"/>
      <c r="AD74" s="60"/>
      <c r="AE74" s="61">
        <f>SUM(AB74:AD74)</f>
        <v>0</v>
      </c>
      <c r="AF74" s="68">
        <f t="shared" si="16"/>
        <v>0</v>
      </c>
    </row>
    <row r="75" spans="1:32" hidden="1" x14ac:dyDescent="0.35">
      <c r="B75" s="54"/>
      <c r="C75" s="63" t="s">
        <v>235</v>
      </c>
      <c r="D75" s="63"/>
      <c r="E75" s="63"/>
      <c r="F75" s="63"/>
      <c r="G75" s="61">
        <f>SUM(D75:F75)</f>
        <v>0</v>
      </c>
      <c r="H75" s="63"/>
      <c r="I75" s="63"/>
      <c r="J75" s="63"/>
      <c r="K75" s="61">
        <f>SUM(H75:J75)</f>
        <v>0</v>
      </c>
      <c r="L75" s="63"/>
      <c r="M75" s="63"/>
      <c r="N75" s="63"/>
      <c r="O75" s="61">
        <f>SUM(L75:N75)</f>
        <v>0</v>
      </c>
      <c r="P75" s="63"/>
      <c r="Q75" s="63"/>
      <c r="R75" s="63"/>
      <c r="S75" s="61">
        <f>SUM(P75:R75)</f>
        <v>0</v>
      </c>
      <c r="T75" s="63"/>
      <c r="U75" s="63"/>
      <c r="V75" s="63"/>
      <c r="W75" s="61">
        <f>SUM(T75:V75)</f>
        <v>0</v>
      </c>
      <c r="X75" s="63"/>
      <c r="Y75" s="63"/>
      <c r="Z75" s="63"/>
      <c r="AA75" s="61">
        <f>SUM(X75:Z75)</f>
        <v>0</v>
      </c>
      <c r="AB75" s="63"/>
      <c r="AC75" s="63"/>
      <c r="AD75" s="63"/>
      <c r="AE75" s="61">
        <f>SUM(AB75:AD75)</f>
        <v>0</v>
      </c>
      <c r="AF75" s="68">
        <f t="shared" si="16"/>
        <v>0</v>
      </c>
    </row>
    <row r="76" spans="1:32" x14ac:dyDescent="0.35">
      <c r="A76" s="66" t="s">
        <v>262</v>
      </c>
      <c r="B76" s="67">
        <v>30</v>
      </c>
      <c r="C76" s="66"/>
      <c r="D76" s="66">
        <f t="shared" ref="D76:AE76" si="18">SUM(D72:D75)</f>
        <v>0</v>
      </c>
      <c r="E76" s="66">
        <f t="shared" si="18"/>
        <v>0</v>
      </c>
      <c r="F76" s="66">
        <f t="shared" si="18"/>
        <v>0</v>
      </c>
      <c r="G76" s="61">
        <f t="shared" si="18"/>
        <v>0</v>
      </c>
      <c r="H76" s="66">
        <f t="shared" si="18"/>
        <v>0</v>
      </c>
      <c r="I76" s="66">
        <f t="shared" si="18"/>
        <v>0</v>
      </c>
      <c r="J76" s="66">
        <f t="shared" si="18"/>
        <v>0</v>
      </c>
      <c r="K76" s="61">
        <f t="shared" si="18"/>
        <v>0</v>
      </c>
      <c r="L76" s="66">
        <f t="shared" si="18"/>
        <v>0</v>
      </c>
      <c r="M76" s="66">
        <f t="shared" si="18"/>
        <v>0</v>
      </c>
      <c r="N76" s="66">
        <f t="shared" si="18"/>
        <v>0</v>
      </c>
      <c r="O76" s="61">
        <f t="shared" si="18"/>
        <v>0</v>
      </c>
      <c r="P76" s="66">
        <f t="shared" si="18"/>
        <v>0</v>
      </c>
      <c r="Q76" s="66">
        <f t="shared" si="18"/>
        <v>0</v>
      </c>
      <c r="R76" s="66">
        <f t="shared" si="18"/>
        <v>0</v>
      </c>
      <c r="S76" s="61">
        <f t="shared" si="18"/>
        <v>0</v>
      </c>
      <c r="T76" s="66">
        <f t="shared" si="18"/>
        <v>0</v>
      </c>
      <c r="U76" s="66">
        <f t="shared" si="18"/>
        <v>0</v>
      </c>
      <c r="V76" s="66">
        <f t="shared" si="18"/>
        <v>0</v>
      </c>
      <c r="W76" s="61">
        <f t="shared" si="18"/>
        <v>0</v>
      </c>
      <c r="X76" s="66">
        <f t="shared" si="18"/>
        <v>0</v>
      </c>
      <c r="Y76" s="66">
        <f t="shared" si="18"/>
        <v>0</v>
      </c>
      <c r="Z76" s="66">
        <f t="shared" si="18"/>
        <v>0</v>
      </c>
      <c r="AA76" s="61">
        <f t="shared" si="18"/>
        <v>0</v>
      </c>
      <c r="AB76" s="66">
        <f t="shared" si="18"/>
        <v>0</v>
      </c>
      <c r="AC76" s="66">
        <f t="shared" si="18"/>
        <v>0</v>
      </c>
      <c r="AD76" s="66">
        <f t="shared" si="18"/>
        <v>0</v>
      </c>
      <c r="AE76" s="61">
        <f t="shared" si="18"/>
        <v>0</v>
      </c>
      <c r="AF76" s="68">
        <f t="shared" si="16"/>
        <v>0</v>
      </c>
    </row>
    <row r="77" spans="1:32" hidden="1" x14ac:dyDescent="0.35">
      <c r="A77" s="59" t="s">
        <v>264</v>
      </c>
      <c r="B77" s="54">
        <v>30</v>
      </c>
      <c r="C77" s="60" t="s">
        <v>225</v>
      </c>
      <c r="D77" s="60"/>
      <c r="E77" s="60"/>
      <c r="F77" s="60"/>
      <c r="G77" s="61">
        <f>SUM(D77:F77)</f>
        <v>0</v>
      </c>
      <c r="H77" s="60"/>
      <c r="I77" s="60"/>
      <c r="J77" s="60"/>
      <c r="K77" s="61">
        <f>SUM(H77:J77)</f>
        <v>0</v>
      </c>
      <c r="L77" s="60"/>
      <c r="M77" s="60"/>
      <c r="N77" s="60"/>
      <c r="O77" s="61">
        <f>SUM(L77:N77)</f>
        <v>0</v>
      </c>
      <c r="P77" s="60"/>
      <c r="Q77" s="60"/>
      <c r="R77" s="60"/>
      <c r="S77" s="61">
        <f>SUM(P77:R77)</f>
        <v>0</v>
      </c>
      <c r="T77" s="60"/>
      <c r="U77" s="60"/>
      <c r="V77" s="60"/>
      <c r="W77" s="61">
        <f>SUM(T77:V77)</f>
        <v>0</v>
      </c>
      <c r="X77" s="60"/>
      <c r="Y77" s="60"/>
      <c r="Z77" s="60"/>
      <c r="AA77" s="61">
        <f>SUM(X77:Z77)</f>
        <v>0</v>
      </c>
      <c r="AB77" s="60"/>
      <c r="AC77" s="60"/>
      <c r="AD77" s="60"/>
      <c r="AE77" s="61">
        <f>SUM(AB77:AD77)</f>
        <v>0</v>
      </c>
      <c r="AF77" s="68">
        <f t="shared" si="16"/>
        <v>0</v>
      </c>
    </row>
    <row r="78" spans="1:32" hidden="1" x14ac:dyDescent="0.35">
      <c r="A78" s="112" t="s">
        <v>263</v>
      </c>
      <c r="B78" s="54"/>
      <c r="C78" s="63" t="s">
        <v>227</v>
      </c>
      <c r="D78" s="63"/>
      <c r="E78" s="63"/>
      <c r="F78" s="63"/>
      <c r="G78" s="61">
        <f>SUM(D78:F78)</f>
        <v>0</v>
      </c>
      <c r="H78" s="63"/>
      <c r="I78" s="63"/>
      <c r="J78" s="63"/>
      <c r="K78" s="61">
        <f>SUM(H78:J78)</f>
        <v>0</v>
      </c>
      <c r="L78" s="63"/>
      <c r="M78" s="63"/>
      <c r="N78" s="63"/>
      <c r="O78" s="61">
        <f>SUM(L78:N78)</f>
        <v>0</v>
      </c>
      <c r="P78" s="63"/>
      <c r="Q78" s="63"/>
      <c r="R78" s="63"/>
      <c r="S78" s="61">
        <f>SUM(P78:R78)</f>
        <v>0</v>
      </c>
      <c r="T78" s="63"/>
      <c r="U78" s="63"/>
      <c r="V78" s="63"/>
      <c r="W78" s="61">
        <f>SUM(T78:V78)</f>
        <v>0</v>
      </c>
      <c r="X78" s="63"/>
      <c r="Y78" s="63"/>
      <c r="Z78" s="63"/>
      <c r="AA78" s="61">
        <f>SUM(X78:Z78)</f>
        <v>0</v>
      </c>
      <c r="AB78" s="63"/>
      <c r="AC78" s="63"/>
      <c r="AD78" s="63"/>
      <c r="AE78" s="61">
        <f>SUM(AB78:AD78)</f>
        <v>0</v>
      </c>
      <c r="AF78" s="68">
        <f t="shared" si="16"/>
        <v>0</v>
      </c>
    </row>
    <row r="79" spans="1:32" hidden="1" x14ac:dyDescent="0.35">
      <c r="A79" s="112"/>
      <c r="B79" s="54"/>
      <c r="C79" s="60" t="s">
        <v>228</v>
      </c>
      <c r="D79" s="60"/>
      <c r="E79" s="60"/>
      <c r="F79" s="60"/>
      <c r="G79" s="61">
        <f>SUM(D79:F79)</f>
        <v>0</v>
      </c>
      <c r="H79" s="60"/>
      <c r="I79" s="60"/>
      <c r="J79" s="60"/>
      <c r="K79" s="61">
        <f>SUM(H79:J79)</f>
        <v>0</v>
      </c>
      <c r="L79" s="60"/>
      <c r="M79" s="60"/>
      <c r="N79" s="60"/>
      <c r="O79" s="61">
        <f>SUM(L79:N79)</f>
        <v>0</v>
      </c>
      <c r="P79" s="60"/>
      <c r="Q79" s="60"/>
      <c r="R79" s="60"/>
      <c r="S79" s="61">
        <f>SUM(P79:R79)</f>
        <v>0</v>
      </c>
      <c r="T79" s="60"/>
      <c r="U79" s="60"/>
      <c r="V79" s="60"/>
      <c r="W79" s="61">
        <f>SUM(T79:V79)</f>
        <v>0</v>
      </c>
      <c r="X79" s="60"/>
      <c r="Y79" s="60"/>
      <c r="Z79" s="60"/>
      <c r="AA79" s="61">
        <f>SUM(X79:Z79)</f>
        <v>0</v>
      </c>
      <c r="AB79" s="60"/>
      <c r="AC79" s="60"/>
      <c r="AD79" s="60"/>
      <c r="AE79" s="61">
        <f>SUM(AB79:AD79)</f>
        <v>0</v>
      </c>
      <c r="AF79" s="68">
        <f t="shared" si="16"/>
        <v>0</v>
      </c>
    </row>
    <row r="80" spans="1:32" hidden="1" x14ac:dyDescent="0.35">
      <c r="B80" s="54"/>
      <c r="C80" s="63" t="s">
        <v>235</v>
      </c>
      <c r="D80" s="63"/>
      <c r="E80" s="63"/>
      <c r="F80" s="63"/>
      <c r="G80" s="61">
        <f>SUM(D80:F80)</f>
        <v>0</v>
      </c>
      <c r="H80" s="63"/>
      <c r="I80" s="63"/>
      <c r="J80" s="63"/>
      <c r="K80" s="61">
        <f>SUM(H80:J80)</f>
        <v>0</v>
      </c>
      <c r="L80" s="63"/>
      <c r="M80" s="63"/>
      <c r="N80" s="63"/>
      <c r="O80" s="61">
        <f>SUM(L80:N80)</f>
        <v>0</v>
      </c>
      <c r="P80" s="63"/>
      <c r="Q80" s="63"/>
      <c r="R80" s="63"/>
      <c r="S80" s="61">
        <f>SUM(P80:R80)</f>
        <v>0</v>
      </c>
      <c r="T80" s="63"/>
      <c r="U80" s="63"/>
      <c r="V80" s="63"/>
      <c r="W80" s="61">
        <f>SUM(T80:V80)</f>
        <v>0</v>
      </c>
      <c r="X80" s="63"/>
      <c r="Y80" s="63"/>
      <c r="Z80" s="63"/>
      <c r="AA80" s="61">
        <f>SUM(X80:Z80)</f>
        <v>0</v>
      </c>
      <c r="AB80" s="63"/>
      <c r="AC80" s="63"/>
      <c r="AD80" s="63"/>
      <c r="AE80" s="61">
        <f>SUM(AB80:AD80)</f>
        <v>0</v>
      </c>
      <c r="AF80" s="68">
        <f t="shared" si="16"/>
        <v>0</v>
      </c>
    </row>
    <row r="81" spans="1:32" ht="15.75" customHeight="1" x14ac:dyDescent="0.35">
      <c r="A81" s="66" t="s">
        <v>264</v>
      </c>
      <c r="B81" s="67">
        <v>30</v>
      </c>
      <c r="C81" s="66"/>
      <c r="D81" s="66">
        <f t="shared" ref="D81:AE81" si="19">SUM(D77:D80)</f>
        <v>0</v>
      </c>
      <c r="E81" s="66">
        <f t="shared" si="19"/>
        <v>0</v>
      </c>
      <c r="F81" s="66">
        <f t="shared" si="19"/>
        <v>0</v>
      </c>
      <c r="G81" s="61">
        <f t="shared" si="19"/>
        <v>0</v>
      </c>
      <c r="H81" s="66">
        <f t="shared" si="19"/>
        <v>0</v>
      </c>
      <c r="I81" s="66">
        <f t="shared" si="19"/>
        <v>0</v>
      </c>
      <c r="J81" s="66">
        <f t="shared" si="19"/>
        <v>0</v>
      </c>
      <c r="K81" s="61">
        <f t="shared" si="19"/>
        <v>0</v>
      </c>
      <c r="L81" s="66">
        <f t="shared" si="19"/>
        <v>0</v>
      </c>
      <c r="M81" s="66">
        <f t="shared" si="19"/>
        <v>0</v>
      </c>
      <c r="N81" s="66">
        <f t="shared" si="19"/>
        <v>0</v>
      </c>
      <c r="O81" s="61">
        <f t="shared" si="19"/>
        <v>0</v>
      </c>
      <c r="P81" s="66">
        <f t="shared" si="19"/>
        <v>0</v>
      </c>
      <c r="Q81" s="66">
        <f t="shared" si="19"/>
        <v>0</v>
      </c>
      <c r="R81" s="66">
        <f t="shared" si="19"/>
        <v>0</v>
      </c>
      <c r="S81" s="61">
        <f t="shared" si="19"/>
        <v>0</v>
      </c>
      <c r="T81" s="66">
        <f t="shared" si="19"/>
        <v>0</v>
      </c>
      <c r="U81" s="66">
        <f t="shared" si="19"/>
        <v>0</v>
      </c>
      <c r="V81" s="66">
        <f t="shared" si="19"/>
        <v>0</v>
      </c>
      <c r="W81" s="61">
        <f t="shared" si="19"/>
        <v>0</v>
      </c>
      <c r="X81" s="66">
        <f t="shared" si="19"/>
        <v>0</v>
      </c>
      <c r="Y81" s="66">
        <f t="shared" si="19"/>
        <v>0</v>
      </c>
      <c r="Z81" s="66">
        <f t="shared" si="19"/>
        <v>0</v>
      </c>
      <c r="AA81" s="61">
        <f t="shared" si="19"/>
        <v>0</v>
      </c>
      <c r="AB81" s="66">
        <f t="shared" si="19"/>
        <v>0</v>
      </c>
      <c r="AC81" s="66">
        <f t="shared" si="19"/>
        <v>0</v>
      </c>
      <c r="AD81" s="66">
        <f t="shared" si="19"/>
        <v>0</v>
      </c>
      <c r="AE81" s="61">
        <f t="shared" si="19"/>
        <v>0</v>
      </c>
      <c r="AF81" s="68">
        <f t="shared" si="16"/>
        <v>0</v>
      </c>
    </row>
    <row r="82" spans="1:32" hidden="1" x14ac:dyDescent="0.35">
      <c r="A82" s="59" t="s">
        <v>265</v>
      </c>
      <c r="B82" s="54" t="s">
        <v>266</v>
      </c>
      <c r="C82" s="60" t="s">
        <v>225</v>
      </c>
      <c r="D82" s="60"/>
      <c r="E82" s="60"/>
      <c r="F82" s="60"/>
      <c r="G82" s="61">
        <f>SUM(D82:F82)</f>
        <v>0</v>
      </c>
      <c r="H82" s="60"/>
      <c r="I82" s="60"/>
      <c r="J82" s="60"/>
      <c r="K82" s="61">
        <f>SUM(H82:J82)</f>
        <v>0</v>
      </c>
      <c r="L82" s="60"/>
      <c r="M82" s="60"/>
      <c r="N82" s="60"/>
      <c r="O82" s="61">
        <f>SUM(L82:N82)</f>
        <v>0</v>
      </c>
      <c r="P82" s="60"/>
      <c r="Q82" s="60"/>
      <c r="R82" s="60"/>
      <c r="S82" s="61">
        <f>SUM(P82:R82)</f>
        <v>0</v>
      </c>
      <c r="T82" s="60"/>
      <c r="U82" s="60"/>
      <c r="V82" s="60"/>
      <c r="W82" s="61">
        <f>SUM(T82:V82)</f>
        <v>0</v>
      </c>
      <c r="X82" s="60"/>
      <c r="Y82" s="60"/>
      <c r="Z82" s="60"/>
      <c r="AA82" s="61">
        <f>SUM(X82:Z82)</f>
        <v>0</v>
      </c>
      <c r="AB82" s="60"/>
      <c r="AC82" s="60"/>
      <c r="AD82" s="60"/>
      <c r="AE82" s="61">
        <f>SUM(AB82:AD82)</f>
        <v>0</v>
      </c>
      <c r="AF82" s="68">
        <f t="shared" si="16"/>
        <v>0</v>
      </c>
    </row>
    <row r="83" spans="1:32" hidden="1" x14ac:dyDescent="0.35">
      <c r="A83" s="112" t="s">
        <v>397</v>
      </c>
      <c r="B83" s="54"/>
      <c r="C83" s="63" t="s">
        <v>227</v>
      </c>
      <c r="D83" s="63"/>
      <c r="E83" s="63"/>
      <c r="F83" s="63"/>
      <c r="G83" s="61">
        <f>SUM(D83:F83)</f>
        <v>0</v>
      </c>
      <c r="H83" s="63"/>
      <c r="I83" s="63"/>
      <c r="J83" s="63"/>
      <c r="K83" s="61">
        <f>SUM(H83:J83)</f>
        <v>0</v>
      </c>
      <c r="L83" s="63"/>
      <c r="M83" s="63"/>
      <c r="N83" s="63"/>
      <c r="O83" s="61">
        <f>SUM(L83:N83)</f>
        <v>0</v>
      </c>
      <c r="P83" s="63"/>
      <c r="Q83" s="63"/>
      <c r="R83" s="63"/>
      <c r="S83" s="61">
        <f>SUM(P83:R83)</f>
        <v>0</v>
      </c>
      <c r="T83" s="63">
        <v>2</v>
      </c>
      <c r="U83" s="63"/>
      <c r="V83" s="63"/>
      <c r="W83" s="61">
        <f>SUM(T83:V83)</f>
        <v>2</v>
      </c>
      <c r="X83" s="63"/>
      <c r="Y83" s="63"/>
      <c r="Z83" s="63"/>
      <c r="AA83" s="61">
        <f>SUM(X83:Z83)</f>
        <v>0</v>
      </c>
      <c r="AB83" s="63"/>
      <c r="AC83" s="63"/>
      <c r="AD83" s="63"/>
      <c r="AE83" s="61">
        <f>SUM(AB83:AD83)</f>
        <v>0</v>
      </c>
      <c r="AF83" s="68">
        <f t="shared" si="16"/>
        <v>2</v>
      </c>
    </row>
    <row r="84" spans="1:32" hidden="1" x14ac:dyDescent="0.35">
      <c r="A84" s="112"/>
      <c r="B84" s="54"/>
      <c r="C84" s="60" t="s">
        <v>228</v>
      </c>
      <c r="D84" s="60"/>
      <c r="E84" s="60"/>
      <c r="F84" s="60"/>
      <c r="G84" s="61">
        <f>SUM(D84:F84)</f>
        <v>0</v>
      </c>
      <c r="H84" s="60"/>
      <c r="I84" s="60"/>
      <c r="J84" s="60"/>
      <c r="K84" s="61">
        <f>SUM(H84:J84)</f>
        <v>0</v>
      </c>
      <c r="L84" s="60"/>
      <c r="M84" s="60"/>
      <c r="N84" s="60"/>
      <c r="O84" s="61">
        <f>SUM(L84:N84)</f>
        <v>0</v>
      </c>
      <c r="P84" s="60"/>
      <c r="Q84" s="60"/>
      <c r="R84" s="60"/>
      <c r="S84" s="61">
        <f>SUM(P84:R84)</f>
        <v>0</v>
      </c>
      <c r="T84" s="60">
        <v>1</v>
      </c>
      <c r="U84" s="60"/>
      <c r="V84" s="60"/>
      <c r="W84" s="61">
        <f>SUM(T84:V84)</f>
        <v>1</v>
      </c>
      <c r="X84" s="60"/>
      <c r="Y84" s="60"/>
      <c r="Z84" s="60"/>
      <c r="AA84" s="61">
        <f>SUM(X84:Z84)</f>
        <v>0</v>
      </c>
      <c r="AB84" s="60"/>
      <c r="AC84" s="60"/>
      <c r="AD84" s="60"/>
      <c r="AE84" s="61">
        <f>SUM(AB84:AD84)</f>
        <v>0</v>
      </c>
      <c r="AF84" s="68">
        <f t="shared" si="16"/>
        <v>1</v>
      </c>
    </row>
    <row r="85" spans="1:32" hidden="1" x14ac:dyDescent="0.35">
      <c r="B85" s="54"/>
      <c r="C85" s="63" t="s">
        <v>235</v>
      </c>
      <c r="D85" s="63"/>
      <c r="E85" s="63"/>
      <c r="F85" s="63"/>
      <c r="G85" s="61">
        <f>SUM(D85:F85)</f>
        <v>0</v>
      </c>
      <c r="H85" s="63"/>
      <c r="I85" s="63"/>
      <c r="J85" s="63"/>
      <c r="K85" s="61">
        <f>SUM(H85:J85)</f>
        <v>0</v>
      </c>
      <c r="L85" s="63"/>
      <c r="M85" s="63"/>
      <c r="N85" s="63"/>
      <c r="O85" s="61">
        <f>SUM(L85:N85)</f>
        <v>0</v>
      </c>
      <c r="P85" s="63"/>
      <c r="Q85" s="63"/>
      <c r="R85" s="63"/>
      <c r="S85" s="61">
        <f>SUM(P85:R85)</f>
        <v>0</v>
      </c>
      <c r="T85" s="63"/>
      <c r="U85" s="63"/>
      <c r="V85" s="63"/>
      <c r="W85" s="61">
        <f>SUM(T85:V85)</f>
        <v>0</v>
      </c>
      <c r="X85" s="63"/>
      <c r="Y85" s="63"/>
      <c r="Z85" s="63"/>
      <c r="AA85" s="61">
        <f>SUM(X85:Z85)</f>
        <v>0</v>
      </c>
      <c r="AB85" s="63"/>
      <c r="AC85" s="63"/>
      <c r="AD85" s="63"/>
      <c r="AE85" s="61">
        <f>SUM(AB85:AD85)</f>
        <v>0</v>
      </c>
      <c r="AF85" s="68">
        <f t="shared" si="16"/>
        <v>0</v>
      </c>
    </row>
    <row r="86" spans="1:32" x14ac:dyDescent="0.35">
      <c r="A86" s="66" t="s">
        <v>265</v>
      </c>
      <c r="B86" s="67" t="s">
        <v>266</v>
      </c>
      <c r="C86" s="66"/>
      <c r="D86" s="66">
        <f t="shared" ref="D86:AE86" si="20">SUM(D82:D85)</f>
        <v>0</v>
      </c>
      <c r="E86" s="66">
        <f t="shared" si="20"/>
        <v>0</v>
      </c>
      <c r="F86" s="66">
        <f t="shared" si="20"/>
        <v>0</v>
      </c>
      <c r="G86" s="61">
        <f t="shared" si="20"/>
        <v>0</v>
      </c>
      <c r="H86" s="66">
        <f t="shared" si="20"/>
        <v>0</v>
      </c>
      <c r="I86" s="66">
        <f t="shared" si="20"/>
        <v>0</v>
      </c>
      <c r="J86" s="66">
        <f t="shared" si="20"/>
        <v>0</v>
      </c>
      <c r="K86" s="61">
        <f t="shared" si="20"/>
        <v>0</v>
      </c>
      <c r="L86" s="66">
        <f t="shared" si="20"/>
        <v>0</v>
      </c>
      <c r="M86" s="66">
        <f t="shared" si="20"/>
        <v>0</v>
      </c>
      <c r="N86" s="66">
        <f t="shared" si="20"/>
        <v>0</v>
      </c>
      <c r="O86" s="61">
        <f t="shared" si="20"/>
        <v>0</v>
      </c>
      <c r="P86" s="66">
        <f t="shared" si="20"/>
        <v>0</v>
      </c>
      <c r="Q86" s="66">
        <f t="shared" si="20"/>
        <v>0</v>
      </c>
      <c r="R86" s="66">
        <f t="shared" si="20"/>
        <v>0</v>
      </c>
      <c r="S86" s="61">
        <f t="shared" si="20"/>
        <v>0</v>
      </c>
      <c r="T86" s="66">
        <f t="shared" si="20"/>
        <v>3</v>
      </c>
      <c r="U86" s="66">
        <f t="shared" si="20"/>
        <v>0</v>
      </c>
      <c r="V86" s="66">
        <f t="shared" si="20"/>
        <v>0</v>
      </c>
      <c r="W86" s="61">
        <f t="shared" si="20"/>
        <v>3</v>
      </c>
      <c r="X86" s="66">
        <f t="shared" si="20"/>
        <v>0</v>
      </c>
      <c r="Y86" s="66">
        <f t="shared" si="20"/>
        <v>0</v>
      </c>
      <c r="Z86" s="66">
        <f t="shared" si="20"/>
        <v>0</v>
      </c>
      <c r="AA86" s="61">
        <f t="shared" si="20"/>
        <v>0</v>
      </c>
      <c r="AB86" s="66">
        <f t="shared" si="20"/>
        <v>0</v>
      </c>
      <c r="AC86" s="66">
        <f t="shared" si="20"/>
        <v>0</v>
      </c>
      <c r="AD86" s="66">
        <f t="shared" si="20"/>
        <v>0</v>
      </c>
      <c r="AE86" s="61">
        <f t="shared" si="20"/>
        <v>0</v>
      </c>
      <c r="AF86" s="68">
        <f t="shared" si="16"/>
        <v>3</v>
      </c>
    </row>
    <row r="87" spans="1:32" hidden="1" x14ac:dyDescent="0.35">
      <c r="A87" s="59" t="s">
        <v>268</v>
      </c>
      <c r="B87" s="54" t="s">
        <v>255</v>
      </c>
      <c r="C87" s="60" t="s">
        <v>225</v>
      </c>
      <c r="D87" s="60"/>
      <c r="E87" s="60"/>
      <c r="F87" s="60"/>
      <c r="G87" s="61">
        <f>SUM(D87:F87)</f>
        <v>0</v>
      </c>
      <c r="H87" s="60"/>
      <c r="I87" s="60"/>
      <c r="J87" s="60"/>
      <c r="K87" s="61">
        <f>SUM(H87:J87)</f>
        <v>0</v>
      </c>
      <c r="L87" s="60"/>
      <c r="M87" s="60"/>
      <c r="N87" s="60"/>
      <c r="O87" s="61">
        <f>SUM(L87:N87)</f>
        <v>0</v>
      </c>
      <c r="P87" s="60"/>
      <c r="Q87" s="60"/>
      <c r="R87" s="60"/>
      <c r="S87" s="61">
        <f>SUM(P87:R87)</f>
        <v>0</v>
      </c>
      <c r="T87" s="60"/>
      <c r="U87" s="60"/>
      <c r="V87" s="60"/>
      <c r="W87" s="61">
        <f>SUM(T87:V87)</f>
        <v>0</v>
      </c>
      <c r="X87" s="60"/>
      <c r="Y87" s="60"/>
      <c r="Z87" s="60"/>
      <c r="AA87" s="61">
        <f>SUM(X87:Z87)</f>
        <v>0</v>
      </c>
      <c r="AB87" s="60"/>
      <c r="AC87" s="60"/>
      <c r="AD87" s="60"/>
      <c r="AE87" s="61">
        <f>SUM(AB87:AD87)</f>
        <v>0</v>
      </c>
      <c r="AF87" s="68">
        <f t="shared" si="16"/>
        <v>0</v>
      </c>
    </row>
    <row r="88" spans="1:32" hidden="1" x14ac:dyDescent="0.35">
      <c r="A88" s="111" t="s">
        <v>254</v>
      </c>
      <c r="B88" s="54"/>
      <c r="C88" s="63" t="s">
        <v>227</v>
      </c>
      <c r="D88" s="63"/>
      <c r="E88" s="63"/>
      <c r="F88" s="63"/>
      <c r="G88" s="61">
        <f>SUM(D88:F88)</f>
        <v>0</v>
      </c>
      <c r="H88" s="63"/>
      <c r="I88" s="63"/>
      <c r="J88" s="63"/>
      <c r="K88" s="61">
        <f>SUM(H88:J88)</f>
        <v>0</v>
      </c>
      <c r="L88" s="63"/>
      <c r="M88" s="63"/>
      <c r="N88" s="63"/>
      <c r="O88" s="61">
        <f>SUM(L88:N88)</f>
        <v>0</v>
      </c>
      <c r="P88" s="63"/>
      <c r="Q88" s="63"/>
      <c r="R88" s="63"/>
      <c r="S88" s="61">
        <f>SUM(P88:R88)</f>
        <v>0</v>
      </c>
      <c r="T88" s="63"/>
      <c r="U88" s="63"/>
      <c r="V88" s="63"/>
      <c r="W88" s="61">
        <f>SUM(T88:V88)</f>
        <v>0</v>
      </c>
      <c r="X88" s="63"/>
      <c r="Y88" s="63"/>
      <c r="Z88" s="63"/>
      <c r="AA88" s="61">
        <f>SUM(X88:Z88)</f>
        <v>0</v>
      </c>
      <c r="AB88" s="63"/>
      <c r="AC88" s="63"/>
      <c r="AD88" s="63"/>
      <c r="AE88" s="61">
        <f>SUM(AB88:AD88)</f>
        <v>0</v>
      </c>
      <c r="AF88" s="68">
        <f t="shared" si="16"/>
        <v>0</v>
      </c>
    </row>
    <row r="89" spans="1:32" hidden="1" x14ac:dyDescent="0.35">
      <c r="A89" s="111"/>
      <c r="B89" s="54"/>
      <c r="C89" s="60" t="s">
        <v>228</v>
      </c>
      <c r="D89" s="60"/>
      <c r="E89" s="60"/>
      <c r="F89" s="60"/>
      <c r="G89" s="61">
        <f>SUM(D89:F89)</f>
        <v>0</v>
      </c>
      <c r="H89" s="60"/>
      <c r="I89" s="60"/>
      <c r="J89" s="60"/>
      <c r="K89" s="61">
        <f>SUM(H89:J89)</f>
        <v>0</v>
      </c>
      <c r="L89" s="60"/>
      <c r="M89" s="60"/>
      <c r="N89" s="60"/>
      <c r="O89" s="61">
        <f>SUM(L89:N89)</f>
        <v>0</v>
      </c>
      <c r="P89" s="60"/>
      <c r="Q89" s="60"/>
      <c r="R89" s="60"/>
      <c r="S89" s="61">
        <f>SUM(P89:R89)</f>
        <v>0</v>
      </c>
      <c r="T89" s="60"/>
      <c r="U89" s="60"/>
      <c r="V89" s="60"/>
      <c r="W89" s="61">
        <f>SUM(T89:V89)</f>
        <v>0</v>
      </c>
      <c r="X89" s="60"/>
      <c r="Y89" s="60"/>
      <c r="Z89" s="60"/>
      <c r="AA89" s="61">
        <f>SUM(X89:Z89)</f>
        <v>0</v>
      </c>
      <c r="AB89" s="60"/>
      <c r="AC89" s="60"/>
      <c r="AD89" s="60"/>
      <c r="AE89" s="61">
        <f>SUM(AB89:AD89)</f>
        <v>0</v>
      </c>
      <c r="AF89" s="68">
        <f t="shared" si="16"/>
        <v>0</v>
      </c>
    </row>
    <row r="90" spans="1:32" hidden="1" x14ac:dyDescent="0.35">
      <c r="B90" s="54"/>
      <c r="C90" s="63" t="s">
        <v>235</v>
      </c>
      <c r="D90" s="63"/>
      <c r="E90" s="63"/>
      <c r="F90" s="63"/>
      <c r="G90" s="61">
        <f>SUM(D90:F90)</f>
        <v>0</v>
      </c>
      <c r="H90" s="63"/>
      <c r="I90" s="63"/>
      <c r="J90" s="63"/>
      <c r="K90" s="61">
        <f>SUM(H90:J90)</f>
        <v>0</v>
      </c>
      <c r="L90" s="63"/>
      <c r="M90" s="63"/>
      <c r="N90" s="63"/>
      <c r="O90" s="61">
        <f>SUM(L90:N90)</f>
        <v>0</v>
      </c>
      <c r="P90" s="63"/>
      <c r="Q90" s="63"/>
      <c r="R90" s="63"/>
      <c r="S90" s="61">
        <f>SUM(P90:R90)</f>
        <v>0</v>
      </c>
      <c r="T90" s="63"/>
      <c r="U90" s="63"/>
      <c r="V90" s="63"/>
      <c r="W90" s="61">
        <f>SUM(T90:V90)</f>
        <v>0</v>
      </c>
      <c r="X90" s="63"/>
      <c r="Y90" s="63"/>
      <c r="Z90" s="63"/>
      <c r="AA90" s="61">
        <f>SUM(X90:Z90)</f>
        <v>0</v>
      </c>
      <c r="AB90" s="63"/>
      <c r="AC90" s="63"/>
      <c r="AD90" s="63"/>
      <c r="AE90" s="61">
        <f>SUM(AB90:AD90)</f>
        <v>0</v>
      </c>
      <c r="AF90" s="68">
        <f t="shared" si="16"/>
        <v>0</v>
      </c>
    </row>
    <row r="91" spans="1:32" x14ac:dyDescent="0.35">
      <c r="A91" s="66" t="s">
        <v>268</v>
      </c>
      <c r="B91" s="67" t="s">
        <v>255</v>
      </c>
      <c r="C91" s="66"/>
      <c r="D91" s="66">
        <f t="shared" ref="D91:AE91" si="21">SUM(D87:D90)</f>
        <v>0</v>
      </c>
      <c r="E91" s="66">
        <f t="shared" si="21"/>
        <v>0</v>
      </c>
      <c r="F91" s="66">
        <f t="shared" si="21"/>
        <v>0</v>
      </c>
      <c r="G91" s="61">
        <f t="shared" si="21"/>
        <v>0</v>
      </c>
      <c r="H91" s="66">
        <f t="shared" si="21"/>
        <v>0</v>
      </c>
      <c r="I91" s="66">
        <f t="shared" si="21"/>
        <v>0</v>
      </c>
      <c r="J91" s="66">
        <f t="shared" si="21"/>
        <v>0</v>
      </c>
      <c r="K91" s="61">
        <f t="shared" si="21"/>
        <v>0</v>
      </c>
      <c r="L91" s="66">
        <f t="shared" si="21"/>
        <v>0</v>
      </c>
      <c r="M91" s="66">
        <f t="shared" si="21"/>
        <v>0</v>
      </c>
      <c r="N91" s="66">
        <f t="shared" si="21"/>
        <v>0</v>
      </c>
      <c r="O91" s="61">
        <f t="shared" si="21"/>
        <v>0</v>
      </c>
      <c r="P91" s="66">
        <f t="shared" si="21"/>
        <v>0</v>
      </c>
      <c r="Q91" s="66">
        <f t="shared" si="21"/>
        <v>0</v>
      </c>
      <c r="R91" s="66">
        <f t="shared" si="21"/>
        <v>0</v>
      </c>
      <c r="S91" s="61">
        <f t="shared" si="21"/>
        <v>0</v>
      </c>
      <c r="T91" s="66">
        <f t="shared" si="21"/>
        <v>0</v>
      </c>
      <c r="U91" s="66">
        <f t="shared" si="21"/>
        <v>0</v>
      </c>
      <c r="V91" s="66">
        <f t="shared" si="21"/>
        <v>0</v>
      </c>
      <c r="W91" s="61">
        <f t="shared" si="21"/>
        <v>0</v>
      </c>
      <c r="X91" s="66">
        <f t="shared" si="21"/>
        <v>0</v>
      </c>
      <c r="Y91" s="66">
        <f t="shared" si="21"/>
        <v>0</v>
      </c>
      <c r="Z91" s="66">
        <f t="shared" si="21"/>
        <v>0</v>
      </c>
      <c r="AA91" s="61">
        <f t="shared" si="21"/>
        <v>0</v>
      </c>
      <c r="AB91" s="66">
        <f t="shared" si="21"/>
        <v>0</v>
      </c>
      <c r="AC91" s="66">
        <f t="shared" si="21"/>
        <v>0</v>
      </c>
      <c r="AD91" s="66">
        <f t="shared" si="21"/>
        <v>0</v>
      </c>
      <c r="AE91" s="61">
        <f t="shared" si="21"/>
        <v>0</v>
      </c>
      <c r="AF91" s="68">
        <f t="shared" si="16"/>
        <v>0</v>
      </c>
    </row>
    <row r="92" spans="1:32" hidden="1" x14ac:dyDescent="0.35">
      <c r="A92" s="59" t="s">
        <v>269</v>
      </c>
      <c r="B92" s="54">
        <v>12</v>
      </c>
      <c r="C92" s="60" t="s">
        <v>225</v>
      </c>
      <c r="D92" s="60"/>
      <c r="E92" s="60"/>
      <c r="F92" s="60"/>
      <c r="G92" s="61">
        <f>SUM(D92:F92)</f>
        <v>0</v>
      </c>
      <c r="H92" s="60"/>
      <c r="I92" s="60"/>
      <c r="J92" s="60"/>
      <c r="K92" s="61">
        <f>SUM(H92:J92)</f>
        <v>0</v>
      </c>
      <c r="L92" s="60"/>
      <c r="M92" s="60"/>
      <c r="N92" s="60"/>
      <c r="O92" s="61">
        <f>SUM(L92:N92)</f>
        <v>0</v>
      </c>
      <c r="P92" s="60"/>
      <c r="Q92" s="60"/>
      <c r="R92" s="60"/>
      <c r="S92" s="61">
        <f>SUM(P92:R92)</f>
        <v>0</v>
      </c>
      <c r="T92" s="60"/>
      <c r="U92" s="60"/>
      <c r="V92" s="60"/>
      <c r="W92" s="61">
        <f>SUM(T92:V92)</f>
        <v>0</v>
      </c>
      <c r="X92" s="60">
        <v>32</v>
      </c>
      <c r="Y92" s="60">
        <v>10</v>
      </c>
      <c r="Z92" s="60"/>
      <c r="AA92" s="61">
        <f>SUM(X92:Z92)</f>
        <v>42</v>
      </c>
      <c r="AB92" s="60"/>
      <c r="AC92" s="60"/>
      <c r="AD92" s="60"/>
      <c r="AE92" s="61">
        <f>SUM(AB92:AD92)</f>
        <v>0</v>
      </c>
      <c r="AF92" s="68">
        <f t="shared" si="16"/>
        <v>42</v>
      </c>
    </row>
    <row r="93" spans="1:32" hidden="1" x14ac:dyDescent="0.35">
      <c r="A93" s="111" t="s">
        <v>270</v>
      </c>
      <c r="B93" s="54"/>
      <c r="C93" s="63" t="s">
        <v>227</v>
      </c>
      <c r="D93" s="63"/>
      <c r="E93" s="63"/>
      <c r="F93" s="63"/>
      <c r="G93" s="61">
        <f>SUM(D93:F93)</f>
        <v>0</v>
      </c>
      <c r="H93" s="63"/>
      <c r="I93" s="63"/>
      <c r="J93" s="63"/>
      <c r="K93" s="61">
        <f>SUM(H93:J93)</f>
        <v>0</v>
      </c>
      <c r="L93" s="63"/>
      <c r="M93" s="63"/>
      <c r="N93" s="63"/>
      <c r="O93" s="61">
        <f>SUM(L93:N93)</f>
        <v>0</v>
      </c>
      <c r="P93" s="63"/>
      <c r="Q93" s="63"/>
      <c r="R93" s="63"/>
      <c r="S93" s="61">
        <f>SUM(P93:R93)</f>
        <v>0</v>
      </c>
      <c r="T93" s="63"/>
      <c r="U93" s="63"/>
      <c r="V93" s="63"/>
      <c r="W93" s="61">
        <f>SUM(T93:V93)</f>
        <v>0</v>
      </c>
      <c r="X93" s="63"/>
      <c r="Y93" s="63"/>
      <c r="Z93" s="63"/>
      <c r="AA93" s="61">
        <f>SUM(X93:Z93)</f>
        <v>0</v>
      </c>
      <c r="AB93" s="63"/>
      <c r="AC93" s="63"/>
      <c r="AD93" s="63"/>
      <c r="AE93" s="61">
        <f>SUM(AB93:AD93)</f>
        <v>0</v>
      </c>
      <c r="AF93" s="68">
        <f t="shared" si="16"/>
        <v>0</v>
      </c>
    </row>
    <row r="94" spans="1:32" hidden="1" x14ac:dyDescent="0.35">
      <c r="A94" s="111"/>
      <c r="B94" s="54"/>
      <c r="C94" s="60" t="s">
        <v>228</v>
      </c>
      <c r="D94" s="60"/>
      <c r="E94" s="60"/>
      <c r="F94" s="60"/>
      <c r="G94" s="61">
        <f>SUM(D94:F94)</f>
        <v>0</v>
      </c>
      <c r="H94" s="60"/>
      <c r="I94" s="60"/>
      <c r="J94" s="60"/>
      <c r="K94" s="61">
        <f>SUM(H94:J94)</f>
        <v>0</v>
      </c>
      <c r="L94" s="60"/>
      <c r="M94" s="60"/>
      <c r="N94" s="60"/>
      <c r="O94" s="61">
        <f>SUM(L94:N94)</f>
        <v>0</v>
      </c>
      <c r="P94" s="60"/>
      <c r="Q94" s="60"/>
      <c r="R94" s="60"/>
      <c r="S94" s="61">
        <f>SUM(P94:R94)</f>
        <v>0</v>
      </c>
      <c r="T94" s="60">
        <v>6</v>
      </c>
      <c r="U94" s="60">
        <v>4</v>
      </c>
      <c r="V94" s="60"/>
      <c r="W94" s="61">
        <f>SUM(T94:V94)</f>
        <v>10</v>
      </c>
      <c r="X94" s="60"/>
      <c r="Y94" s="60"/>
      <c r="Z94" s="60"/>
      <c r="AA94" s="61">
        <f>SUM(X94:Z94)</f>
        <v>0</v>
      </c>
      <c r="AB94" s="60"/>
      <c r="AC94" s="60"/>
      <c r="AD94" s="60"/>
      <c r="AE94" s="61">
        <f>SUM(AB94:AD94)</f>
        <v>0</v>
      </c>
      <c r="AF94" s="68">
        <f t="shared" si="16"/>
        <v>10</v>
      </c>
    </row>
    <row r="95" spans="1:32" hidden="1" x14ac:dyDescent="0.35">
      <c r="A95" s="111"/>
      <c r="B95" s="54"/>
      <c r="C95" s="63" t="s">
        <v>235</v>
      </c>
      <c r="D95" s="63"/>
      <c r="E95" s="63"/>
      <c r="F95" s="63"/>
      <c r="G95" s="61">
        <f>SUM(D95:F95)</f>
        <v>0</v>
      </c>
      <c r="H95" s="63"/>
      <c r="I95" s="63"/>
      <c r="J95" s="63"/>
      <c r="K95" s="61">
        <f>SUM(H95:J95)</f>
        <v>0</v>
      </c>
      <c r="L95" s="63"/>
      <c r="M95" s="63"/>
      <c r="N95" s="63"/>
      <c r="O95" s="61">
        <f>SUM(L95:N95)</f>
        <v>0</v>
      </c>
      <c r="P95" s="63"/>
      <c r="Q95" s="63"/>
      <c r="R95" s="63"/>
      <c r="S95" s="61">
        <f>SUM(P95:R95)</f>
        <v>0</v>
      </c>
      <c r="T95" s="63"/>
      <c r="U95" s="63"/>
      <c r="V95" s="63"/>
      <c r="W95" s="61">
        <f>SUM(T95:V95)</f>
        <v>0</v>
      </c>
      <c r="X95" s="63"/>
      <c r="Y95" s="63"/>
      <c r="Z95" s="63"/>
      <c r="AA95" s="61">
        <f>SUM(X95:Z95)</f>
        <v>0</v>
      </c>
      <c r="AB95" s="63"/>
      <c r="AC95" s="63"/>
      <c r="AD95" s="63"/>
      <c r="AE95" s="61">
        <f>SUM(AB95:AD95)</f>
        <v>0</v>
      </c>
      <c r="AF95" s="68">
        <f t="shared" si="16"/>
        <v>0</v>
      </c>
    </row>
    <row r="96" spans="1:32" x14ac:dyDescent="0.35">
      <c r="A96" s="66" t="s">
        <v>269</v>
      </c>
      <c r="B96" s="67">
        <v>12</v>
      </c>
      <c r="C96" s="66"/>
      <c r="D96" s="66">
        <f t="shared" ref="D96:AE96" si="22">SUM(D92:D95)</f>
        <v>0</v>
      </c>
      <c r="E96" s="66">
        <f t="shared" si="22"/>
        <v>0</v>
      </c>
      <c r="F96" s="66">
        <f t="shared" si="22"/>
        <v>0</v>
      </c>
      <c r="G96" s="61">
        <f t="shared" si="22"/>
        <v>0</v>
      </c>
      <c r="H96" s="66">
        <f t="shared" si="22"/>
        <v>0</v>
      </c>
      <c r="I96" s="66">
        <f t="shared" si="22"/>
        <v>0</v>
      </c>
      <c r="J96" s="66">
        <f t="shared" si="22"/>
        <v>0</v>
      </c>
      <c r="K96" s="61">
        <f t="shared" si="22"/>
        <v>0</v>
      </c>
      <c r="L96" s="66">
        <f t="shared" si="22"/>
        <v>0</v>
      </c>
      <c r="M96" s="66">
        <f t="shared" si="22"/>
        <v>0</v>
      </c>
      <c r="N96" s="66">
        <f t="shared" si="22"/>
        <v>0</v>
      </c>
      <c r="O96" s="61">
        <f t="shared" si="22"/>
        <v>0</v>
      </c>
      <c r="P96" s="66">
        <f t="shared" si="22"/>
        <v>0</v>
      </c>
      <c r="Q96" s="66">
        <f t="shared" si="22"/>
        <v>0</v>
      </c>
      <c r="R96" s="66">
        <f t="shared" si="22"/>
        <v>0</v>
      </c>
      <c r="S96" s="61">
        <f t="shared" si="22"/>
        <v>0</v>
      </c>
      <c r="T96" s="66">
        <f t="shared" si="22"/>
        <v>6</v>
      </c>
      <c r="U96" s="66">
        <f t="shared" si="22"/>
        <v>4</v>
      </c>
      <c r="V96" s="66">
        <f t="shared" si="22"/>
        <v>0</v>
      </c>
      <c r="W96" s="61">
        <f t="shared" si="22"/>
        <v>10</v>
      </c>
      <c r="X96" s="66">
        <f t="shared" si="22"/>
        <v>32</v>
      </c>
      <c r="Y96" s="66">
        <f t="shared" si="22"/>
        <v>10</v>
      </c>
      <c r="Z96" s="66">
        <f t="shared" si="22"/>
        <v>0</v>
      </c>
      <c r="AA96" s="61">
        <f t="shared" si="22"/>
        <v>42</v>
      </c>
      <c r="AB96" s="66">
        <f t="shared" si="22"/>
        <v>0</v>
      </c>
      <c r="AC96" s="66">
        <f t="shared" si="22"/>
        <v>0</v>
      </c>
      <c r="AD96" s="66">
        <f t="shared" si="22"/>
        <v>0</v>
      </c>
      <c r="AE96" s="61">
        <f t="shared" si="22"/>
        <v>0</v>
      </c>
      <c r="AF96" s="68">
        <f t="shared" si="16"/>
        <v>52</v>
      </c>
    </row>
    <row r="97" spans="1:32" hidden="1" x14ac:dyDescent="0.35">
      <c r="A97" s="59" t="s">
        <v>271</v>
      </c>
      <c r="B97" s="54" t="s">
        <v>272</v>
      </c>
      <c r="C97" s="60" t="s">
        <v>225</v>
      </c>
      <c r="D97" s="60"/>
      <c r="E97" s="60"/>
      <c r="F97" s="60"/>
      <c r="G97" s="61">
        <f>SUM(D97:F97)</f>
        <v>0</v>
      </c>
      <c r="H97" s="60"/>
      <c r="I97" s="60"/>
      <c r="J97" s="60"/>
      <c r="K97" s="61">
        <f>SUM(H97:J97)</f>
        <v>0</v>
      </c>
      <c r="L97" s="60"/>
      <c r="M97" s="60"/>
      <c r="N97" s="60"/>
      <c r="O97" s="61">
        <f>SUM(L97:N97)</f>
        <v>0</v>
      </c>
      <c r="P97" s="60"/>
      <c r="Q97" s="60"/>
      <c r="R97" s="60"/>
      <c r="S97" s="61">
        <f>SUM(P97:R97)</f>
        <v>0</v>
      </c>
      <c r="T97" s="60">
        <v>8</v>
      </c>
      <c r="U97" s="60"/>
      <c r="V97" s="60"/>
      <c r="W97" s="61">
        <f>SUM(T97:V97)</f>
        <v>8</v>
      </c>
      <c r="X97" s="60">
        <v>1</v>
      </c>
      <c r="Y97" s="60"/>
      <c r="Z97" s="60"/>
      <c r="AA97" s="61">
        <f>SUM(X97:Z97)</f>
        <v>1</v>
      </c>
      <c r="AB97" s="60"/>
      <c r="AC97" s="60"/>
      <c r="AD97" s="60"/>
      <c r="AE97" s="61">
        <f>SUM(AB97:AD97)</f>
        <v>0</v>
      </c>
      <c r="AF97" s="68">
        <f t="shared" si="16"/>
        <v>9</v>
      </c>
    </row>
    <row r="98" spans="1:32" hidden="1" x14ac:dyDescent="0.35">
      <c r="A98" s="111" t="s">
        <v>273</v>
      </c>
      <c r="B98" s="54"/>
      <c r="C98" s="63" t="s">
        <v>227</v>
      </c>
      <c r="D98" s="63"/>
      <c r="E98" s="63"/>
      <c r="F98" s="63"/>
      <c r="G98" s="61">
        <f>SUM(D98:F98)</f>
        <v>0</v>
      </c>
      <c r="H98" s="63"/>
      <c r="I98" s="63"/>
      <c r="J98" s="63"/>
      <c r="K98" s="61">
        <f>SUM(H98:J98)</f>
        <v>0</v>
      </c>
      <c r="L98" s="63"/>
      <c r="M98" s="63"/>
      <c r="N98" s="63"/>
      <c r="O98" s="61">
        <f>SUM(L98:N98)</f>
        <v>0</v>
      </c>
      <c r="P98" s="63"/>
      <c r="Q98" s="63"/>
      <c r="R98" s="63"/>
      <c r="S98" s="61">
        <f>SUM(P98:R98)</f>
        <v>0</v>
      </c>
      <c r="T98" s="63">
        <v>2</v>
      </c>
      <c r="U98" s="63">
        <v>1</v>
      </c>
      <c r="V98" s="63"/>
      <c r="W98" s="61">
        <f>SUM(T98:V98)</f>
        <v>3</v>
      </c>
      <c r="X98" s="63"/>
      <c r="Y98" s="63"/>
      <c r="Z98" s="63"/>
      <c r="AA98" s="61">
        <f>SUM(X98:Z98)</f>
        <v>0</v>
      </c>
      <c r="AB98" s="63"/>
      <c r="AC98" s="63"/>
      <c r="AD98" s="63"/>
      <c r="AE98" s="61">
        <f>SUM(AB98:AD98)</f>
        <v>0</v>
      </c>
      <c r="AF98" s="68">
        <f t="shared" si="16"/>
        <v>3</v>
      </c>
    </row>
    <row r="99" spans="1:32" hidden="1" x14ac:dyDescent="0.35">
      <c r="A99" s="111"/>
      <c r="B99" s="54"/>
      <c r="C99" s="60" t="s">
        <v>228</v>
      </c>
      <c r="D99" s="60"/>
      <c r="E99" s="60"/>
      <c r="F99" s="60"/>
      <c r="G99" s="61">
        <f>SUM(D99:F99)</f>
        <v>0</v>
      </c>
      <c r="H99" s="60"/>
      <c r="I99" s="60"/>
      <c r="J99" s="60"/>
      <c r="K99" s="61">
        <f>SUM(H99:J99)</f>
        <v>0</v>
      </c>
      <c r="L99" s="60"/>
      <c r="M99" s="60"/>
      <c r="N99" s="60"/>
      <c r="O99" s="61">
        <f>SUM(L99:N99)</f>
        <v>0</v>
      </c>
      <c r="P99" s="60"/>
      <c r="Q99" s="60"/>
      <c r="R99" s="60"/>
      <c r="S99" s="61">
        <f>SUM(P99:R99)</f>
        <v>0</v>
      </c>
      <c r="T99" s="60">
        <v>5</v>
      </c>
      <c r="U99" s="60"/>
      <c r="V99" s="60"/>
      <c r="W99" s="61">
        <f>SUM(T99:V99)</f>
        <v>5</v>
      </c>
      <c r="X99" s="60"/>
      <c r="Y99" s="60"/>
      <c r="Z99" s="60"/>
      <c r="AA99" s="61">
        <f>SUM(X99:Z99)</f>
        <v>0</v>
      </c>
      <c r="AB99" s="60"/>
      <c r="AC99" s="60"/>
      <c r="AD99" s="60"/>
      <c r="AE99" s="61">
        <f>SUM(AB99:AD99)</f>
        <v>0</v>
      </c>
      <c r="AF99" s="68">
        <f t="shared" si="16"/>
        <v>5</v>
      </c>
    </row>
    <row r="100" spans="1:32" hidden="1" x14ac:dyDescent="0.35">
      <c r="A100" s="111"/>
      <c r="B100" s="54"/>
      <c r="C100" s="63" t="s">
        <v>235</v>
      </c>
      <c r="D100" s="63"/>
      <c r="E100" s="63"/>
      <c r="F100" s="63"/>
      <c r="G100" s="61">
        <f>SUM(D100:F100)</f>
        <v>0</v>
      </c>
      <c r="H100" s="63"/>
      <c r="I100" s="63"/>
      <c r="J100" s="63"/>
      <c r="K100" s="61">
        <f>SUM(H100:J100)</f>
        <v>0</v>
      </c>
      <c r="L100" s="63"/>
      <c r="M100" s="63"/>
      <c r="N100" s="63"/>
      <c r="O100" s="61">
        <f>SUM(L100:N100)</f>
        <v>0</v>
      </c>
      <c r="P100" s="63"/>
      <c r="Q100" s="63"/>
      <c r="R100" s="63"/>
      <c r="S100" s="61">
        <f>SUM(P100:R100)</f>
        <v>0</v>
      </c>
      <c r="T100" s="63">
        <v>4</v>
      </c>
      <c r="U100" s="63"/>
      <c r="V100" s="63"/>
      <c r="W100" s="61">
        <f>SUM(T100:V100)</f>
        <v>4</v>
      </c>
      <c r="X100" s="63"/>
      <c r="Y100" s="63"/>
      <c r="Z100" s="63"/>
      <c r="AA100" s="61">
        <f>SUM(X100:Z100)</f>
        <v>0</v>
      </c>
      <c r="AB100" s="63"/>
      <c r="AC100" s="63"/>
      <c r="AD100" s="63"/>
      <c r="AE100" s="61">
        <f>SUM(AB100:AD100)</f>
        <v>0</v>
      </c>
      <c r="AF100" s="68">
        <f t="shared" si="16"/>
        <v>4</v>
      </c>
    </row>
    <row r="101" spans="1:32" hidden="1" x14ac:dyDescent="0.35">
      <c r="A101" s="66" t="s">
        <v>274</v>
      </c>
      <c r="B101" s="67"/>
      <c r="C101" s="66"/>
      <c r="D101" s="66">
        <f t="shared" ref="D101:AE101" si="23">SUM(D97:D100)</f>
        <v>0</v>
      </c>
      <c r="E101" s="66">
        <f t="shared" si="23"/>
        <v>0</v>
      </c>
      <c r="F101" s="66">
        <f t="shared" si="23"/>
        <v>0</v>
      </c>
      <c r="G101" s="61">
        <f t="shared" si="23"/>
        <v>0</v>
      </c>
      <c r="H101" s="66">
        <f t="shared" si="23"/>
        <v>0</v>
      </c>
      <c r="I101" s="66">
        <f t="shared" si="23"/>
        <v>0</v>
      </c>
      <c r="J101" s="66">
        <f t="shared" si="23"/>
        <v>0</v>
      </c>
      <c r="K101" s="61">
        <f t="shared" si="23"/>
        <v>0</v>
      </c>
      <c r="L101" s="66">
        <f t="shared" si="23"/>
        <v>0</v>
      </c>
      <c r="M101" s="66">
        <f t="shared" si="23"/>
        <v>0</v>
      </c>
      <c r="N101" s="66">
        <f t="shared" si="23"/>
        <v>0</v>
      </c>
      <c r="O101" s="61">
        <f t="shared" si="23"/>
        <v>0</v>
      </c>
      <c r="P101" s="66">
        <f t="shared" si="23"/>
        <v>0</v>
      </c>
      <c r="Q101" s="66">
        <f t="shared" si="23"/>
        <v>0</v>
      </c>
      <c r="R101" s="66">
        <f t="shared" si="23"/>
        <v>0</v>
      </c>
      <c r="S101" s="61">
        <f t="shared" si="23"/>
        <v>0</v>
      </c>
      <c r="T101" s="66">
        <f t="shared" si="23"/>
        <v>19</v>
      </c>
      <c r="U101" s="66">
        <f t="shared" si="23"/>
        <v>1</v>
      </c>
      <c r="V101" s="66">
        <f t="shared" si="23"/>
        <v>0</v>
      </c>
      <c r="W101" s="61">
        <f t="shared" si="23"/>
        <v>20</v>
      </c>
      <c r="X101" s="66">
        <f t="shared" si="23"/>
        <v>1</v>
      </c>
      <c r="Y101" s="66">
        <f t="shared" si="23"/>
        <v>0</v>
      </c>
      <c r="Z101" s="66">
        <f t="shared" si="23"/>
        <v>0</v>
      </c>
      <c r="AA101" s="61">
        <f t="shared" si="23"/>
        <v>1</v>
      </c>
      <c r="AB101" s="66">
        <f t="shared" si="23"/>
        <v>0</v>
      </c>
      <c r="AC101" s="66">
        <f t="shared" si="23"/>
        <v>0</v>
      </c>
      <c r="AD101" s="66">
        <f t="shared" si="23"/>
        <v>0</v>
      </c>
      <c r="AE101" s="61">
        <f t="shared" si="23"/>
        <v>0</v>
      </c>
      <c r="AF101" s="68">
        <f t="shared" si="16"/>
        <v>21</v>
      </c>
    </row>
    <row r="102" spans="1:32" hidden="1" x14ac:dyDescent="0.35">
      <c r="A102" s="111" t="s">
        <v>275</v>
      </c>
      <c r="B102" s="54"/>
      <c r="C102" s="60" t="s">
        <v>225</v>
      </c>
      <c r="D102" s="60"/>
      <c r="E102" s="60"/>
      <c r="F102" s="60"/>
      <c r="G102" s="61">
        <f>SUM(D102:F102)</f>
        <v>0</v>
      </c>
      <c r="H102" s="60"/>
      <c r="I102" s="60"/>
      <c r="J102" s="60"/>
      <c r="K102" s="61">
        <f>SUM(H102:J102)</f>
        <v>0</v>
      </c>
      <c r="L102" s="60"/>
      <c r="M102" s="60"/>
      <c r="N102" s="60"/>
      <c r="O102" s="61">
        <f>SUM(L102:N102)</f>
        <v>0</v>
      </c>
      <c r="P102" s="60"/>
      <c r="Q102" s="60"/>
      <c r="R102" s="60"/>
      <c r="S102" s="61">
        <f>SUM(P102:R102)</f>
        <v>0</v>
      </c>
      <c r="T102" s="60">
        <v>1</v>
      </c>
      <c r="U102" s="60"/>
      <c r="V102" s="60"/>
      <c r="W102" s="61">
        <f>SUM(T102:V102)</f>
        <v>1</v>
      </c>
      <c r="X102" s="60"/>
      <c r="Y102" s="60"/>
      <c r="Z102" s="60"/>
      <c r="AA102" s="61">
        <f>SUM(X102:Z102)</f>
        <v>0</v>
      </c>
      <c r="AB102" s="60"/>
      <c r="AC102" s="60"/>
      <c r="AD102" s="60"/>
      <c r="AE102" s="61">
        <f>SUM(AB102:AD102)</f>
        <v>0</v>
      </c>
      <c r="AF102" s="68">
        <f t="shared" si="16"/>
        <v>1</v>
      </c>
    </row>
    <row r="103" spans="1:32" hidden="1" x14ac:dyDescent="0.35">
      <c r="A103" s="111"/>
      <c r="B103" s="54"/>
      <c r="C103" s="63" t="s">
        <v>227</v>
      </c>
      <c r="D103" s="63"/>
      <c r="E103" s="63"/>
      <c r="F103" s="63"/>
      <c r="G103" s="61">
        <f>SUM(D103:F103)</f>
        <v>0</v>
      </c>
      <c r="H103" s="63"/>
      <c r="I103" s="63"/>
      <c r="J103" s="63"/>
      <c r="K103" s="61">
        <f>SUM(H103:J103)</f>
        <v>0</v>
      </c>
      <c r="L103" s="63"/>
      <c r="M103" s="63"/>
      <c r="N103" s="63"/>
      <c r="O103" s="61">
        <f>SUM(L103:N103)</f>
        <v>0</v>
      </c>
      <c r="P103" s="63"/>
      <c r="Q103" s="63"/>
      <c r="R103" s="63"/>
      <c r="S103" s="61">
        <f>SUM(P103:R103)</f>
        <v>0</v>
      </c>
      <c r="T103" s="63">
        <v>8</v>
      </c>
      <c r="U103" s="63"/>
      <c r="V103" s="63"/>
      <c r="W103" s="61">
        <f>SUM(T103:V103)</f>
        <v>8</v>
      </c>
      <c r="X103" s="63"/>
      <c r="Y103" s="63"/>
      <c r="Z103" s="63"/>
      <c r="AA103" s="61">
        <f>SUM(X103:Z103)</f>
        <v>0</v>
      </c>
      <c r="AB103" s="63"/>
      <c r="AC103" s="63"/>
      <c r="AD103" s="63"/>
      <c r="AE103" s="61">
        <f>SUM(AB103:AD103)</f>
        <v>0</v>
      </c>
      <c r="AF103" s="68">
        <f t="shared" si="16"/>
        <v>8</v>
      </c>
    </row>
    <row r="104" spans="1:32" hidden="1" x14ac:dyDescent="0.35">
      <c r="A104" s="111"/>
      <c r="B104" s="54"/>
      <c r="C104" s="60" t="s">
        <v>228</v>
      </c>
      <c r="D104" s="60"/>
      <c r="E104" s="60"/>
      <c r="F104" s="60"/>
      <c r="G104" s="61">
        <f>SUM(D104:F104)</f>
        <v>0</v>
      </c>
      <c r="H104" s="60"/>
      <c r="I104" s="60"/>
      <c r="J104" s="60"/>
      <c r="K104" s="61">
        <f>SUM(H104:J104)</f>
        <v>0</v>
      </c>
      <c r="L104" s="60"/>
      <c r="M104" s="60"/>
      <c r="N104" s="60"/>
      <c r="O104" s="61">
        <f>SUM(L104:N104)</f>
        <v>0</v>
      </c>
      <c r="P104" s="60"/>
      <c r="Q104" s="60"/>
      <c r="R104" s="60"/>
      <c r="S104" s="61">
        <f>SUM(P104:R104)</f>
        <v>0</v>
      </c>
      <c r="T104" s="60">
        <v>2</v>
      </c>
      <c r="U104" s="60"/>
      <c r="V104" s="60"/>
      <c r="W104" s="61">
        <f>SUM(T104:V104)</f>
        <v>2</v>
      </c>
      <c r="X104" s="60"/>
      <c r="Y104" s="60"/>
      <c r="Z104" s="60"/>
      <c r="AA104" s="61">
        <f>SUM(X104:Z104)</f>
        <v>0</v>
      </c>
      <c r="AB104" s="60"/>
      <c r="AC104" s="60"/>
      <c r="AD104" s="60"/>
      <c r="AE104" s="61">
        <f>SUM(AB104:AD104)</f>
        <v>0</v>
      </c>
      <c r="AF104" s="68">
        <f t="shared" si="16"/>
        <v>2</v>
      </c>
    </row>
    <row r="105" spans="1:32" hidden="1" x14ac:dyDescent="0.35">
      <c r="A105" s="111"/>
      <c r="B105" s="54"/>
      <c r="C105" s="63" t="s">
        <v>235</v>
      </c>
      <c r="D105" s="63"/>
      <c r="E105" s="63"/>
      <c r="F105" s="63"/>
      <c r="G105" s="61">
        <f>SUM(D105:F105)</f>
        <v>0</v>
      </c>
      <c r="H105" s="63"/>
      <c r="I105" s="63"/>
      <c r="J105" s="63"/>
      <c r="K105" s="61">
        <f>SUM(H105:J105)</f>
        <v>0</v>
      </c>
      <c r="L105" s="63"/>
      <c r="M105" s="63"/>
      <c r="N105" s="63"/>
      <c r="O105" s="61">
        <f>SUM(L105:N105)</f>
        <v>0</v>
      </c>
      <c r="P105" s="63"/>
      <c r="Q105" s="63"/>
      <c r="R105" s="63"/>
      <c r="S105" s="61">
        <f>SUM(P105:R105)</f>
        <v>0</v>
      </c>
      <c r="T105" s="63">
        <v>3</v>
      </c>
      <c r="U105" s="63"/>
      <c r="V105" s="63"/>
      <c r="W105" s="61">
        <f>SUM(T105:V105)</f>
        <v>3</v>
      </c>
      <c r="X105" s="63"/>
      <c r="Y105" s="63"/>
      <c r="Z105" s="63"/>
      <c r="AA105" s="61">
        <f>SUM(X105:Z105)</f>
        <v>0</v>
      </c>
      <c r="AB105" s="63"/>
      <c r="AC105" s="63"/>
      <c r="AD105" s="63"/>
      <c r="AE105" s="61">
        <f>SUM(AB105:AD105)</f>
        <v>0</v>
      </c>
      <c r="AF105" s="68">
        <f t="shared" si="16"/>
        <v>3</v>
      </c>
    </row>
    <row r="106" spans="1:32" hidden="1" x14ac:dyDescent="0.35">
      <c r="A106" s="66" t="s">
        <v>276</v>
      </c>
      <c r="B106" s="67"/>
      <c r="C106" s="66"/>
      <c r="D106" s="66">
        <f t="shared" ref="D106:AE106" si="24">SUM(D102:D105)</f>
        <v>0</v>
      </c>
      <c r="E106" s="66">
        <f t="shared" si="24"/>
        <v>0</v>
      </c>
      <c r="F106" s="66">
        <f t="shared" si="24"/>
        <v>0</v>
      </c>
      <c r="G106" s="61">
        <f t="shared" si="24"/>
        <v>0</v>
      </c>
      <c r="H106" s="66">
        <f t="shared" si="24"/>
        <v>0</v>
      </c>
      <c r="I106" s="66">
        <f t="shared" si="24"/>
        <v>0</v>
      </c>
      <c r="J106" s="66">
        <f t="shared" si="24"/>
        <v>0</v>
      </c>
      <c r="K106" s="61">
        <f t="shared" si="24"/>
        <v>0</v>
      </c>
      <c r="L106" s="66">
        <f t="shared" si="24"/>
        <v>0</v>
      </c>
      <c r="M106" s="66">
        <f t="shared" si="24"/>
        <v>0</v>
      </c>
      <c r="N106" s="66">
        <f t="shared" si="24"/>
        <v>0</v>
      </c>
      <c r="O106" s="61">
        <f t="shared" si="24"/>
        <v>0</v>
      </c>
      <c r="P106" s="66">
        <f t="shared" si="24"/>
        <v>0</v>
      </c>
      <c r="Q106" s="66">
        <f t="shared" si="24"/>
        <v>0</v>
      </c>
      <c r="R106" s="66">
        <f t="shared" si="24"/>
        <v>0</v>
      </c>
      <c r="S106" s="61">
        <f t="shared" si="24"/>
        <v>0</v>
      </c>
      <c r="T106" s="66">
        <f t="shared" si="24"/>
        <v>14</v>
      </c>
      <c r="U106" s="66">
        <f t="shared" si="24"/>
        <v>0</v>
      </c>
      <c r="V106" s="66">
        <f t="shared" si="24"/>
        <v>0</v>
      </c>
      <c r="W106" s="61">
        <f t="shared" si="24"/>
        <v>14</v>
      </c>
      <c r="X106" s="66">
        <f t="shared" si="24"/>
        <v>0</v>
      </c>
      <c r="Y106" s="66">
        <f t="shared" si="24"/>
        <v>0</v>
      </c>
      <c r="Z106" s="66">
        <f t="shared" si="24"/>
        <v>0</v>
      </c>
      <c r="AA106" s="61">
        <f t="shared" si="24"/>
        <v>0</v>
      </c>
      <c r="AB106" s="66">
        <f t="shared" si="24"/>
        <v>0</v>
      </c>
      <c r="AC106" s="66">
        <f t="shared" si="24"/>
        <v>0</v>
      </c>
      <c r="AD106" s="66">
        <f t="shared" si="24"/>
        <v>0</v>
      </c>
      <c r="AE106" s="61">
        <f t="shared" si="24"/>
        <v>0</v>
      </c>
      <c r="AF106" s="68">
        <f t="shared" si="16"/>
        <v>14</v>
      </c>
    </row>
    <row r="107" spans="1:32" x14ac:dyDescent="0.35">
      <c r="A107" s="66" t="s">
        <v>271</v>
      </c>
      <c r="B107" s="67" t="s">
        <v>272</v>
      </c>
      <c r="C107" s="66"/>
      <c r="D107" s="66">
        <f t="shared" ref="D107:AE107" si="25">SUM(D106,D101)</f>
        <v>0</v>
      </c>
      <c r="E107" s="66">
        <f t="shared" si="25"/>
        <v>0</v>
      </c>
      <c r="F107" s="66">
        <f t="shared" si="25"/>
        <v>0</v>
      </c>
      <c r="G107" s="61">
        <f t="shared" si="25"/>
        <v>0</v>
      </c>
      <c r="H107" s="66">
        <f t="shared" si="25"/>
        <v>0</v>
      </c>
      <c r="I107" s="66">
        <f t="shared" si="25"/>
        <v>0</v>
      </c>
      <c r="J107" s="66">
        <f t="shared" si="25"/>
        <v>0</v>
      </c>
      <c r="K107" s="61">
        <f t="shared" si="25"/>
        <v>0</v>
      </c>
      <c r="L107" s="66">
        <f t="shared" si="25"/>
        <v>0</v>
      </c>
      <c r="M107" s="66">
        <f t="shared" si="25"/>
        <v>0</v>
      </c>
      <c r="N107" s="66">
        <f t="shared" si="25"/>
        <v>0</v>
      </c>
      <c r="O107" s="61">
        <f t="shared" si="25"/>
        <v>0</v>
      </c>
      <c r="P107" s="66">
        <f t="shared" si="25"/>
        <v>0</v>
      </c>
      <c r="Q107" s="66">
        <f t="shared" si="25"/>
        <v>0</v>
      </c>
      <c r="R107" s="66">
        <f t="shared" si="25"/>
        <v>0</v>
      </c>
      <c r="S107" s="61">
        <f t="shared" si="25"/>
        <v>0</v>
      </c>
      <c r="T107" s="66">
        <f t="shared" si="25"/>
        <v>33</v>
      </c>
      <c r="U107" s="66">
        <f t="shared" si="25"/>
        <v>1</v>
      </c>
      <c r="V107" s="66">
        <f t="shared" si="25"/>
        <v>0</v>
      </c>
      <c r="W107" s="61">
        <f t="shared" si="25"/>
        <v>34</v>
      </c>
      <c r="X107" s="66">
        <f t="shared" si="25"/>
        <v>1</v>
      </c>
      <c r="Y107" s="66">
        <f t="shared" si="25"/>
        <v>0</v>
      </c>
      <c r="Z107" s="66">
        <f t="shared" si="25"/>
        <v>0</v>
      </c>
      <c r="AA107" s="61">
        <f t="shared" si="25"/>
        <v>1</v>
      </c>
      <c r="AB107" s="66">
        <f t="shared" si="25"/>
        <v>0</v>
      </c>
      <c r="AC107" s="66">
        <f t="shared" si="25"/>
        <v>0</v>
      </c>
      <c r="AD107" s="66">
        <f t="shared" si="25"/>
        <v>0</v>
      </c>
      <c r="AE107" s="61">
        <f t="shared" si="25"/>
        <v>0</v>
      </c>
      <c r="AF107" s="68">
        <f t="shared" si="16"/>
        <v>35</v>
      </c>
    </row>
    <row r="108" spans="1:32" hidden="1" x14ac:dyDescent="0.35">
      <c r="A108" s="75" t="s">
        <v>277</v>
      </c>
      <c r="B108" s="54" t="s">
        <v>272</v>
      </c>
      <c r="C108" s="60" t="s">
        <v>225</v>
      </c>
      <c r="D108" s="60"/>
      <c r="E108" s="60"/>
      <c r="F108" s="60"/>
      <c r="G108" s="61">
        <f>SUM(D108:F108)</f>
        <v>0</v>
      </c>
      <c r="H108" s="60"/>
      <c r="I108" s="60"/>
      <c r="J108" s="60"/>
      <c r="K108" s="61">
        <f>SUM(H108:J108)</f>
        <v>0</v>
      </c>
      <c r="L108" s="60"/>
      <c r="M108" s="60"/>
      <c r="N108" s="60"/>
      <c r="O108" s="61">
        <f>SUM(L108:N108)</f>
        <v>0</v>
      </c>
      <c r="P108" s="60"/>
      <c r="Q108" s="60"/>
      <c r="R108" s="60"/>
      <c r="S108" s="61">
        <f>SUM(P108:R108)</f>
        <v>0</v>
      </c>
      <c r="T108" s="60"/>
      <c r="U108" s="60"/>
      <c r="V108" s="60"/>
      <c r="W108" s="61">
        <f>SUM(T108:V108)</f>
        <v>0</v>
      </c>
      <c r="X108" s="60"/>
      <c r="Y108" s="60"/>
      <c r="Z108" s="60"/>
      <c r="AA108" s="61">
        <f>SUM(X108:Z108)</f>
        <v>0</v>
      </c>
      <c r="AB108" s="60"/>
      <c r="AC108" s="60"/>
      <c r="AD108" s="60"/>
      <c r="AE108" s="61">
        <f>SUM(AB108:AD108)</f>
        <v>0</v>
      </c>
      <c r="AF108" s="68">
        <f t="shared" si="16"/>
        <v>0</v>
      </c>
    </row>
    <row r="109" spans="1:32" hidden="1" x14ac:dyDescent="0.35">
      <c r="A109" s="111" t="s">
        <v>278</v>
      </c>
      <c r="B109" s="54"/>
      <c r="C109" s="63" t="s">
        <v>227</v>
      </c>
      <c r="D109" s="63"/>
      <c r="E109" s="63"/>
      <c r="F109" s="63"/>
      <c r="G109" s="61">
        <f>SUM(D109:F109)</f>
        <v>0</v>
      </c>
      <c r="H109" s="63"/>
      <c r="I109" s="63"/>
      <c r="J109" s="63"/>
      <c r="K109" s="61">
        <f>SUM(H109:J109)</f>
        <v>0</v>
      </c>
      <c r="L109" s="63"/>
      <c r="M109" s="63"/>
      <c r="N109" s="63"/>
      <c r="O109" s="61">
        <f>SUM(L109:N109)</f>
        <v>0</v>
      </c>
      <c r="P109" s="63"/>
      <c r="Q109" s="63"/>
      <c r="R109" s="63"/>
      <c r="S109" s="61">
        <f>SUM(P109:R109)</f>
        <v>0</v>
      </c>
      <c r="T109" s="63"/>
      <c r="U109" s="63"/>
      <c r="V109" s="63"/>
      <c r="W109" s="61">
        <f>SUM(T109:V109)</f>
        <v>0</v>
      </c>
      <c r="X109" s="63"/>
      <c r="Y109" s="63"/>
      <c r="Z109" s="63"/>
      <c r="AA109" s="61">
        <f>SUM(X109:Z109)</f>
        <v>0</v>
      </c>
      <c r="AB109" s="63"/>
      <c r="AC109" s="63"/>
      <c r="AD109" s="63"/>
      <c r="AE109" s="61">
        <f>SUM(AB109:AD109)</f>
        <v>0</v>
      </c>
      <c r="AF109" s="68">
        <f t="shared" si="16"/>
        <v>0</v>
      </c>
    </row>
    <row r="110" spans="1:32" hidden="1" x14ac:dyDescent="0.35">
      <c r="A110" s="111"/>
      <c r="B110" s="54"/>
      <c r="C110" s="60" t="s">
        <v>228</v>
      </c>
      <c r="D110" s="60"/>
      <c r="E110" s="60"/>
      <c r="F110" s="60"/>
      <c r="G110" s="61">
        <f>SUM(D110:F110)</f>
        <v>0</v>
      </c>
      <c r="H110" s="60"/>
      <c r="I110" s="60"/>
      <c r="J110" s="60"/>
      <c r="K110" s="61">
        <f>SUM(H110:J110)</f>
        <v>0</v>
      </c>
      <c r="L110" s="60"/>
      <c r="M110" s="60"/>
      <c r="N110" s="60"/>
      <c r="O110" s="61">
        <f>SUM(L110:N110)</f>
        <v>0</v>
      </c>
      <c r="P110" s="60"/>
      <c r="Q110" s="60"/>
      <c r="R110" s="60"/>
      <c r="S110" s="61">
        <f>SUM(P110:R110)</f>
        <v>0</v>
      </c>
      <c r="T110" s="60"/>
      <c r="U110" s="60"/>
      <c r="V110" s="60"/>
      <c r="W110" s="61">
        <f>SUM(T110:V110)</f>
        <v>0</v>
      </c>
      <c r="X110" s="60"/>
      <c r="Y110" s="60"/>
      <c r="Z110" s="60"/>
      <c r="AA110" s="61">
        <f>SUM(X110:Z110)</f>
        <v>0</v>
      </c>
      <c r="AB110" s="60"/>
      <c r="AC110" s="60"/>
      <c r="AD110" s="60"/>
      <c r="AE110" s="61">
        <f>SUM(AB110:AD110)</f>
        <v>0</v>
      </c>
      <c r="AF110" s="68">
        <f t="shared" si="16"/>
        <v>0</v>
      </c>
    </row>
    <row r="111" spans="1:32" hidden="1" x14ac:dyDescent="0.35">
      <c r="A111" s="111"/>
      <c r="B111" s="54"/>
      <c r="C111" s="63" t="s">
        <v>235</v>
      </c>
      <c r="D111" s="63"/>
      <c r="E111" s="63"/>
      <c r="F111" s="63"/>
      <c r="G111" s="61">
        <f>SUM(D111:F111)</f>
        <v>0</v>
      </c>
      <c r="H111" s="63"/>
      <c r="I111" s="63"/>
      <c r="J111" s="63"/>
      <c r="K111" s="61">
        <f>SUM(H111:J111)</f>
        <v>0</v>
      </c>
      <c r="L111" s="63"/>
      <c r="M111" s="63"/>
      <c r="N111" s="63"/>
      <c r="O111" s="61">
        <f>SUM(L111:N111)</f>
        <v>0</v>
      </c>
      <c r="P111" s="63"/>
      <c r="Q111" s="63"/>
      <c r="R111" s="63"/>
      <c r="S111" s="61">
        <f>SUM(P111:R111)</f>
        <v>0</v>
      </c>
      <c r="T111" s="63"/>
      <c r="U111" s="63"/>
      <c r="V111" s="63"/>
      <c r="W111" s="61">
        <f>SUM(T111:V111)</f>
        <v>0</v>
      </c>
      <c r="X111" s="63"/>
      <c r="Y111" s="63"/>
      <c r="Z111" s="63"/>
      <c r="AA111" s="61">
        <f>SUM(X111:Z111)</f>
        <v>0</v>
      </c>
      <c r="AB111" s="63"/>
      <c r="AC111" s="63"/>
      <c r="AD111" s="63"/>
      <c r="AE111" s="61">
        <f>SUM(AB111:AD111)</f>
        <v>0</v>
      </c>
      <c r="AF111" s="68">
        <f t="shared" si="16"/>
        <v>0</v>
      </c>
    </row>
    <row r="112" spans="1:32" x14ac:dyDescent="0.35">
      <c r="A112" s="66" t="s">
        <v>277</v>
      </c>
      <c r="B112" s="67" t="s">
        <v>272</v>
      </c>
      <c r="C112" s="66"/>
      <c r="D112" s="66">
        <f t="shared" ref="D112:AE112" si="26">SUM(D108:D111)</f>
        <v>0</v>
      </c>
      <c r="E112" s="66">
        <f t="shared" si="26"/>
        <v>0</v>
      </c>
      <c r="F112" s="66">
        <f t="shared" si="26"/>
        <v>0</v>
      </c>
      <c r="G112" s="61">
        <f t="shared" si="26"/>
        <v>0</v>
      </c>
      <c r="H112" s="66">
        <f t="shared" si="26"/>
        <v>0</v>
      </c>
      <c r="I112" s="66">
        <f t="shared" si="26"/>
        <v>0</v>
      </c>
      <c r="J112" s="66">
        <f t="shared" si="26"/>
        <v>0</v>
      </c>
      <c r="K112" s="61">
        <f t="shared" si="26"/>
        <v>0</v>
      </c>
      <c r="L112" s="66">
        <f t="shared" si="26"/>
        <v>0</v>
      </c>
      <c r="M112" s="66">
        <f t="shared" si="26"/>
        <v>0</v>
      </c>
      <c r="N112" s="66">
        <f t="shared" si="26"/>
        <v>0</v>
      </c>
      <c r="O112" s="61">
        <f t="shared" si="26"/>
        <v>0</v>
      </c>
      <c r="P112" s="66">
        <f t="shared" si="26"/>
        <v>0</v>
      </c>
      <c r="Q112" s="66">
        <f t="shared" si="26"/>
        <v>0</v>
      </c>
      <c r="R112" s="66">
        <f t="shared" si="26"/>
        <v>0</v>
      </c>
      <c r="S112" s="61">
        <f t="shared" si="26"/>
        <v>0</v>
      </c>
      <c r="T112" s="66">
        <f t="shared" si="26"/>
        <v>0</v>
      </c>
      <c r="U112" s="66">
        <f t="shared" si="26"/>
        <v>0</v>
      </c>
      <c r="V112" s="66">
        <f t="shared" si="26"/>
        <v>0</v>
      </c>
      <c r="W112" s="61">
        <f t="shared" si="26"/>
        <v>0</v>
      </c>
      <c r="X112" s="66">
        <f t="shared" si="26"/>
        <v>0</v>
      </c>
      <c r="Y112" s="66">
        <f t="shared" si="26"/>
        <v>0</v>
      </c>
      <c r="Z112" s="66">
        <f t="shared" si="26"/>
        <v>0</v>
      </c>
      <c r="AA112" s="61">
        <f t="shared" si="26"/>
        <v>0</v>
      </c>
      <c r="AB112" s="66">
        <f t="shared" si="26"/>
        <v>0</v>
      </c>
      <c r="AC112" s="66">
        <f t="shared" si="26"/>
        <v>0</v>
      </c>
      <c r="AD112" s="66">
        <f t="shared" si="26"/>
        <v>0</v>
      </c>
      <c r="AE112" s="61">
        <f t="shared" si="26"/>
        <v>0</v>
      </c>
      <c r="AF112" s="68">
        <f t="shared" si="16"/>
        <v>0</v>
      </c>
    </row>
    <row r="113" spans="1:32" hidden="1" x14ac:dyDescent="0.35">
      <c r="A113" s="75" t="s">
        <v>279</v>
      </c>
      <c r="B113" s="54">
        <v>4</v>
      </c>
      <c r="C113" s="60" t="s">
        <v>225</v>
      </c>
      <c r="D113" s="60"/>
      <c r="E113" s="60"/>
      <c r="F113" s="60"/>
      <c r="G113" s="61">
        <f>SUM(D113:F113)</f>
        <v>0</v>
      </c>
      <c r="H113" s="60"/>
      <c r="I113" s="60"/>
      <c r="J113" s="60"/>
      <c r="K113" s="61">
        <f>SUM(H113:J113)</f>
        <v>0</v>
      </c>
      <c r="L113" s="60"/>
      <c r="M113" s="60"/>
      <c r="N113" s="60"/>
      <c r="O113" s="61">
        <f>SUM(L113:N113)</f>
        <v>0</v>
      </c>
      <c r="P113" s="60"/>
      <c r="Q113" s="60"/>
      <c r="R113" s="60"/>
      <c r="S113" s="61">
        <f>SUM(P113:R113)</f>
        <v>0</v>
      </c>
      <c r="T113" s="60"/>
      <c r="U113" s="60"/>
      <c r="V113" s="60"/>
      <c r="W113" s="61">
        <f>SUM(T113:V113)</f>
        <v>0</v>
      </c>
      <c r="X113" s="60"/>
      <c r="Y113" s="60"/>
      <c r="Z113" s="60"/>
      <c r="AA113" s="61">
        <f>SUM(X113:Z113)</f>
        <v>0</v>
      </c>
      <c r="AB113" s="60"/>
      <c r="AC113" s="60"/>
      <c r="AD113" s="60"/>
      <c r="AE113" s="61">
        <f>SUM(AB113:AD113)</f>
        <v>0</v>
      </c>
      <c r="AF113" s="68">
        <f t="shared" si="16"/>
        <v>0</v>
      </c>
    </row>
    <row r="114" spans="1:32" hidden="1" x14ac:dyDescent="0.35">
      <c r="A114" s="111" t="s">
        <v>280</v>
      </c>
      <c r="B114" s="54"/>
      <c r="C114" s="63" t="s">
        <v>227</v>
      </c>
      <c r="D114" s="63"/>
      <c r="E114" s="63"/>
      <c r="F114" s="63"/>
      <c r="G114" s="61">
        <f>SUM(D114:F114)</f>
        <v>0</v>
      </c>
      <c r="H114" s="63"/>
      <c r="I114" s="63"/>
      <c r="J114" s="63"/>
      <c r="K114" s="61">
        <f>SUM(H114:J114)</f>
        <v>0</v>
      </c>
      <c r="L114" s="63"/>
      <c r="M114" s="63"/>
      <c r="N114" s="63"/>
      <c r="O114" s="61">
        <f>SUM(L114:N114)</f>
        <v>0</v>
      </c>
      <c r="P114" s="63"/>
      <c r="Q114" s="63"/>
      <c r="R114" s="63"/>
      <c r="S114" s="61">
        <f>SUM(P114:R114)</f>
        <v>0</v>
      </c>
      <c r="T114" s="63"/>
      <c r="U114" s="63"/>
      <c r="V114" s="63"/>
      <c r="W114" s="61">
        <f>SUM(T114:V114)</f>
        <v>0</v>
      </c>
      <c r="X114" s="63"/>
      <c r="Y114" s="63"/>
      <c r="Z114" s="63"/>
      <c r="AA114" s="61">
        <f>SUM(X114:Z114)</f>
        <v>0</v>
      </c>
      <c r="AB114" s="63"/>
      <c r="AC114" s="63"/>
      <c r="AD114" s="63"/>
      <c r="AE114" s="61">
        <f>SUM(AB114:AD114)</f>
        <v>0</v>
      </c>
      <c r="AF114" s="68">
        <f t="shared" si="16"/>
        <v>0</v>
      </c>
    </row>
    <row r="115" spans="1:32" hidden="1" x14ac:dyDescent="0.35">
      <c r="A115" s="111"/>
      <c r="B115" s="54"/>
      <c r="C115" s="60" t="s">
        <v>228</v>
      </c>
      <c r="D115" s="60"/>
      <c r="E115" s="60"/>
      <c r="F115" s="60"/>
      <c r="G115" s="61">
        <f>SUM(D115:F115)</f>
        <v>0</v>
      </c>
      <c r="H115" s="60"/>
      <c r="I115" s="60"/>
      <c r="J115" s="60"/>
      <c r="K115" s="61">
        <f>SUM(H115:J115)</f>
        <v>0</v>
      </c>
      <c r="L115" s="60"/>
      <c r="M115" s="60"/>
      <c r="N115" s="60"/>
      <c r="O115" s="61">
        <f>SUM(L115:N115)</f>
        <v>0</v>
      </c>
      <c r="P115" s="60"/>
      <c r="Q115" s="60"/>
      <c r="R115" s="60"/>
      <c r="S115" s="61">
        <f>SUM(P115:R115)</f>
        <v>0</v>
      </c>
      <c r="T115" s="60"/>
      <c r="U115" s="60"/>
      <c r="V115" s="60"/>
      <c r="W115" s="61">
        <f>SUM(T115:V115)</f>
        <v>0</v>
      </c>
      <c r="X115" s="60"/>
      <c r="Y115" s="60"/>
      <c r="Z115" s="60"/>
      <c r="AA115" s="61">
        <f>SUM(X115:Z115)</f>
        <v>0</v>
      </c>
      <c r="AB115" s="60"/>
      <c r="AC115" s="60"/>
      <c r="AD115" s="60"/>
      <c r="AE115" s="61">
        <f>SUM(AB115:AD115)</f>
        <v>0</v>
      </c>
      <c r="AF115" s="68">
        <f t="shared" si="16"/>
        <v>0</v>
      </c>
    </row>
    <row r="116" spans="1:32" hidden="1" x14ac:dyDescent="0.35">
      <c r="A116" s="111"/>
      <c r="B116" s="54"/>
      <c r="C116" s="63" t="s">
        <v>235</v>
      </c>
      <c r="D116" s="63"/>
      <c r="E116" s="63"/>
      <c r="F116" s="63"/>
      <c r="G116" s="61">
        <f>SUM(D116:F116)</f>
        <v>0</v>
      </c>
      <c r="H116" s="63"/>
      <c r="I116" s="63"/>
      <c r="J116" s="63"/>
      <c r="K116" s="61">
        <f>SUM(H116:J116)</f>
        <v>0</v>
      </c>
      <c r="L116" s="63"/>
      <c r="M116" s="63"/>
      <c r="N116" s="63"/>
      <c r="O116" s="61">
        <f>SUM(L116:N116)</f>
        <v>0</v>
      </c>
      <c r="P116" s="63"/>
      <c r="Q116" s="63"/>
      <c r="R116" s="63"/>
      <c r="S116" s="61">
        <f>SUM(P116:R116)</f>
        <v>0</v>
      </c>
      <c r="T116" s="63"/>
      <c r="U116" s="63"/>
      <c r="V116" s="63"/>
      <c r="W116" s="61">
        <f>SUM(T116:V116)</f>
        <v>0</v>
      </c>
      <c r="X116" s="63"/>
      <c r="Y116" s="63"/>
      <c r="Z116" s="63"/>
      <c r="AA116" s="61">
        <f>SUM(X116:Z116)</f>
        <v>0</v>
      </c>
      <c r="AB116" s="63"/>
      <c r="AC116" s="63"/>
      <c r="AD116" s="63"/>
      <c r="AE116" s="61">
        <f>SUM(AB116:AD116)</f>
        <v>0</v>
      </c>
      <c r="AF116" s="68">
        <f t="shared" si="16"/>
        <v>0</v>
      </c>
    </row>
    <row r="117" spans="1:32" x14ac:dyDescent="0.35">
      <c r="A117" s="66" t="s">
        <v>279</v>
      </c>
      <c r="B117" s="67">
        <v>4</v>
      </c>
      <c r="C117" s="66"/>
      <c r="D117" s="66">
        <f t="shared" ref="D117:AE117" si="27">SUM(D113:D116)</f>
        <v>0</v>
      </c>
      <c r="E117" s="66">
        <f t="shared" si="27"/>
        <v>0</v>
      </c>
      <c r="F117" s="66">
        <f t="shared" si="27"/>
        <v>0</v>
      </c>
      <c r="G117" s="61">
        <f t="shared" si="27"/>
        <v>0</v>
      </c>
      <c r="H117" s="66">
        <f t="shared" si="27"/>
        <v>0</v>
      </c>
      <c r="I117" s="66">
        <f t="shared" si="27"/>
        <v>0</v>
      </c>
      <c r="J117" s="66">
        <f t="shared" si="27"/>
        <v>0</v>
      </c>
      <c r="K117" s="61">
        <f t="shared" si="27"/>
        <v>0</v>
      </c>
      <c r="L117" s="66">
        <f t="shared" si="27"/>
        <v>0</v>
      </c>
      <c r="M117" s="66">
        <f t="shared" si="27"/>
        <v>0</v>
      </c>
      <c r="N117" s="66">
        <f t="shared" si="27"/>
        <v>0</v>
      </c>
      <c r="O117" s="61">
        <f t="shared" si="27"/>
        <v>0</v>
      </c>
      <c r="P117" s="66">
        <f t="shared" si="27"/>
        <v>0</v>
      </c>
      <c r="Q117" s="66">
        <f t="shared" si="27"/>
        <v>0</v>
      </c>
      <c r="R117" s="66">
        <f t="shared" si="27"/>
        <v>0</v>
      </c>
      <c r="S117" s="61">
        <f t="shared" si="27"/>
        <v>0</v>
      </c>
      <c r="T117" s="66">
        <f t="shared" si="27"/>
        <v>0</v>
      </c>
      <c r="U117" s="66">
        <f t="shared" si="27"/>
        <v>0</v>
      </c>
      <c r="V117" s="66">
        <f t="shared" si="27"/>
        <v>0</v>
      </c>
      <c r="W117" s="61">
        <f t="shared" si="27"/>
        <v>0</v>
      </c>
      <c r="X117" s="66">
        <f t="shared" si="27"/>
        <v>0</v>
      </c>
      <c r="Y117" s="66">
        <f t="shared" si="27"/>
        <v>0</v>
      </c>
      <c r="Z117" s="66">
        <f t="shared" si="27"/>
        <v>0</v>
      </c>
      <c r="AA117" s="61">
        <f t="shared" si="27"/>
        <v>0</v>
      </c>
      <c r="AB117" s="66">
        <f t="shared" si="27"/>
        <v>0</v>
      </c>
      <c r="AC117" s="66">
        <f t="shared" si="27"/>
        <v>0</v>
      </c>
      <c r="AD117" s="66">
        <f t="shared" si="27"/>
        <v>0</v>
      </c>
      <c r="AE117" s="61">
        <f t="shared" si="27"/>
        <v>0</v>
      </c>
      <c r="AF117" s="68">
        <f t="shared" si="16"/>
        <v>0</v>
      </c>
    </row>
    <row r="118" spans="1:32" hidden="1" x14ac:dyDescent="0.35">
      <c r="A118" s="59" t="s">
        <v>281</v>
      </c>
      <c r="B118" s="54">
        <v>14</v>
      </c>
      <c r="C118" s="60" t="s">
        <v>225</v>
      </c>
      <c r="D118" s="60"/>
      <c r="E118" s="60"/>
      <c r="F118" s="60"/>
      <c r="G118" s="61">
        <f>SUM(D118:F118)</f>
        <v>0</v>
      </c>
      <c r="H118" s="60"/>
      <c r="I118" s="60"/>
      <c r="J118" s="60"/>
      <c r="K118" s="61">
        <f>SUM(H118:J118)</f>
        <v>0</v>
      </c>
      <c r="L118" s="60"/>
      <c r="M118" s="60"/>
      <c r="N118" s="60"/>
      <c r="O118" s="61">
        <f>SUM(L118:N118)</f>
        <v>0</v>
      </c>
      <c r="P118" s="60"/>
      <c r="Q118" s="60"/>
      <c r="R118" s="60"/>
      <c r="S118" s="61">
        <f>SUM(P118:R118)</f>
        <v>0</v>
      </c>
      <c r="T118" s="60">
        <v>5</v>
      </c>
      <c r="U118" s="60"/>
      <c r="V118" s="60"/>
      <c r="W118" s="61">
        <f>SUM(T118:V118)</f>
        <v>5</v>
      </c>
      <c r="X118" s="60"/>
      <c r="Y118" s="60"/>
      <c r="Z118" s="60"/>
      <c r="AA118" s="61">
        <f>SUM(X118:Z118)</f>
        <v>0</v>
      </c>
      <c r="AB118" s="60"/>
      <c r="AC118" s="60"/>
      <c r="AD118" s="60"/>
      <c r="AE118" s="61">
        <f>SUM(AB118:AD118)</f>
        <v>0</v>
      </c>
      <c r="AF118" s="68">
        <f t="shared" si="16"/>
        <v>5</v>
      </c>
    </row>
    <row r="119" spans="1:32" hidden="1" x14ac:dyDescent="0.35">
      <c r="A119" s="111" t="s">
        <v>282</v>
      </c>
      <c r="B119" s="54"/>
      <c r="C119" s="63" t="s">
        <v>239</v>
      </c>
      <c r="D119" s="63"/>
      <c r="E119" s="63"/>
      <c r="F119" s="63"/>
      <c r="G119" s="61">
        <f>SUM(D119:F119)</f>
        <v>0</v>
      </c>
      <c r="H119" s="63"/>
      <c r="I119" s="63"/>
      <c r="J119" s="63"/>
      <c r="K119" s="61">
        <f>SUM(H119:J119)</f>
        <v>0</v>
      </c>
      <c r="L119" s="63"/>
      <c r="M119" s="63"/>
      <c r="N119" s="63"/>
      <c r="O119" s="61">
        <f>SUM(L119:N119)</f>
        <v>0</v>
      </c>
      <c r="P119" s="63"/>
      <c r="Q119" s="63"/>
      <c r="R119" s="63"/>
      <c r="S119" s="61">
        <f>SUM(P119:R119)</f>
        <v>0</v>
      </c>
      <c r="T119" s="63">
        <v>3</v>
      </c>
      <c r="U119" s="63"/>
      <c r="V119" s="63"/>
      <c r="W119" s="61">
        <f>SUM(T119:V119)</f>
        <v>3</v>
      </c>
      <c r="X119" s="63"/>
      <c r="Y119" s="63"/>
      <c r="Z119" s="63"/>
      <c r="AA119" s="61">
        <f>SUM(X119:Z119)</f>
        <v>0</v>
      </c>
      <c r="AB119" s="63"/>
      <c r="AC119" s="63"/>
      <c r="AD119" s="63"/>
      <c r="AE119" s="61">
        <f>SUM(AB119:AD119)</f>
        <v>0</v>
      </c>
      <c r="AF119" s="68">
        <f t="shared" si="16"/>
        <v>3</v>
      </c>
    </row>
    <row r="120" spans="1:32" hidden="1" x14ac:dyDescent="0.35">
      <c r="A120" s="111"/>
      <c r="B120" s="54"/>
      <c r="C120" s="60" t="s">
        <v>228</v>
      </c>
      <c r="D120" s="60"/>
      <c r="E120" s="60"/>
      <c r="F120" s="60"/>
      <c r="G120" s="61">
        <f>SUM(D120:F120)</f>
        <v>0</v>
      </c>
      <c r="H120" s="60"/>
      <c r="I120" s="60"/>
      <c r="J120" s="60"/>
      <c r="K120" s="61">
        <f>SUM(H120:J120)</f>
        <v>0</v>
      </c>
      <c r="L120" s="60"/>
      <c r="M120" s="60"/>
      <c r="N120" s="60"/>
      <c r="O120" s="61">
        <f>SUM(L120:N120)</f>
        <v>0</v>
      </c>
      <c r="P120" s="60"/>
      <c r="Q120" s="60"/>
      <c r="R120" s="60"/>
      <c r="S120" s="61">
        <f>SUM(P120:R120)</f>
        <v>0</v>
      </c>
      <c r="T120" s="60">
        <v>1</v>
      </c>
      <c r="U120" s="60"/>
      <c r="V120" s="60"/>
      <c r="W120" s="61">
        <f>SUM(T120:V120)</f>
        <v>1</v>
      </c>
      <c r="X120" s="60"/>
      <c r="Y120" s="60"/>
      <c r="Z120" s="60"/>
      <c r="AA120" s="61">
        <f>SUM(X120:Z120)</f>
        <v>0</v>
      </c>
      <c r="AB120" s="60"/>
      <c r="AC120" s="60"/>
      <c r="AD120" s="60"/>
      <c r="AE120" s="61">
        <f>SUM(AB120:AD120)</f>
        <v>0</v>
      </c>
      <c r="AF120" s="68">
        <f t="shared" si="16"/>
        <v>1</v>
      </c>
    </row>
    <row r="121" spans="1:32" hidden="1" x14ac:dyDescent="0.35">
      <c r="A121" s="111"/>
      <c r="B121" s="54"/>
      <c r="C121" s="63" t="s">
        <v>235</v>
      </c>
      <c r="D121" s="63"/>
      <c r="E121" s="63"/>
      <c r="F121" s="63"/>
      <c r="G121" s="61">
        <f>SUM(D121:F121)</f>
        <v>0</v>
      </c>
      <c r="H121" s="63"/>
      <c r="I121" s="63"/>
      <c r="J121" s="63"/>
      <c r="K121" s="61">
        <f>SUM(H121:J121)</f>
        <v>0</v>
      </c>
      <c r="L121" s="63"/>
      <c r="M121" s="63"/>
      <c r="N121" s="63"/>
      <c r="O121" s="61">
        <f>SUM(L121:N121)</f>
        <v>0</v>
      </c>
      <c r="P121" s="63"/>
      <c r="Q121" s="63"/>
      <c r="R121" s="63"/>
      <c r="S121" s="61">
        <f>SUM(P121:R121)</f>
        <v>0</v>
      </c>
      <c r="T121" s="63"/>
      <c r="U121" s="63"/>
      <c r="V121" s="63"/>
      <c r="W121" s="61">
        <f>SUM(T121:V121)</f>
        <v>0</v>
      </c>
      <c r="X121" s="63"/>
      <c r="Y121" s="63"/>
      <c r="Z121" s="63"/>
      <c r="AA121" s="61">
        <f>SUM(X121:Z121)</f>
        <v>0</v>
      </c>
      <c r="AB121" s="63"/>
      <c r="AC121" s="63"/>
      <c r="AD121" s="63"/>
      <c r="AE121" s="61">
        <f>SUM(AB121:AD121)</f>
        <v>0</v>
      </c>
      <c r="AF121" s="68">
        <f t="shared" si="16"/>
        <v>0</v>
      </c>
    </row>
    <row r="122" spans="1:32" hidden="1" x14ac:dyDescent="0.35">
      <c r="A122" s="66" t="s">
        <v>282</v>
      </c>
      <c r="B122" s="67"/>
      <c r="C122" s="66"/>
      <c r="D122" s="66">
        <f t="shared" ref="D122:AE122" si="28">SUM(D118:D121)</f>
        <v>0</v>
      </c>
      <c r="E122" s="66">
        <f t="shared" si="28"/>
        <v>0</v>
      </c>
      <c r="F122" s="66">
        <f t="shared" si="28"/>
        <v>0</v>
      </c>
      <c r="G122" s="61">
        <f t="shared" si="28"/>
        <v>0</v>
      </c>
      <c r="H122" s="66">
        <f t="shared" si="28"/>
        <v>0</v>
      </c>
      <c r="I122" s="66">
        <f t="shared" si="28"/>
        <v>0</v>
      </c>
      <c r="J122" s="66">
        <f t="shared" si="28"/>
        <v>0</v>
      </c>
      <c r="K122" s="61">
        <f t="shared" si="28"/>
        <v>0</v>
      </c>
      <c r="L122" s="66">
        <f t="shared" si="28"/>
        <v>0</v>
      </c>
      <c r="M122" s="66">
        <f t="shared" si="28"/>
        <v>0</v>
      </c>
      <c r="N122" s="66">
        <f t="shared" si="28"/>
        <v>0</v>
      </c>
      <c r="O122" s="61">
        <f t="shared" si="28"/>
        <v>0</v>
      </c>
      <c r="P122" s="66">
        <f t="shared" si="28"/>
        <v>0</v>
      </c>
      <c r="Q122" s="66">
        <f t="shared" si="28"/>
        <v>0</v>
      </c>
      <c r="R122" s="66">
        <f t="shared" si="28"/>
        <v>0</v>
      </c>
      <c r="S122" s="61">
        <f t="shared" si="28"/>
        <v>0</v>
      </c>
      <c r="T122" s="66">
        <f t="shared" si="28"/>
        <v>9</v>
      </c>
      <c r="U122" s="66">
        <f t="shared" si="28"/>
        <v>0</v>
      </c>
      <c r="V122" s="66">
        <f t="shared" si="28"/>
        <v>0</v>
      </c>
      <c r="W122" s="61">
        <f t="shared" si="28"/>
        <v>9</v>
      </c>
      <c r="X122" s="66">
        <f t="shared" si="28"/>
        <v>0</v>
      </c>
      <c r="Y122" s="66">
        <f t="shared" si="28"/>
        <v>0</v>
      </c>
      <c r="Z122" s="66">
        <f t="shared" si="28"/>
        <v>0</v>
      </c>
      <c r="AA122" s="61">
        <f t="shared" si="28"/>
        <v>0</v>
      </c>
      <c r="AB122" s="66">
        <f t="shared" si="28"/>
        <v>0</v>
      </c>
      <c r="AC122" s="66">
        <f t="shared" si="28"/>
        <v>0</v>
      </c>
      <c r="AD122" s="66">
        <f t="shared" si="28"/>
        <v>0</v>
      </c>
      <c r="AE122" s="61">
        <f t="shared" si="28"/>
        <v>0</v>
      </c>
      <c r="AF122" s="68">
        <f t="shared" si="16"/>
        <v>9</v>
      </c>
    </row>
    <row r="123" spans="1:32" hidden="1" x14ac:dyDescent="0.35">
      <c r="A123" s="111" t="s">
        <v>260</v>
      </c>
      <c r="B123" s="54"/>
      <c r="C123" s="60" t="s">
        <v>225</v>
      </c>
      <c r="D123" s="60"/>
      <c r="E123" s="60"/>
      <c r="F123" s="60"/>
      <c r="G123" s="61">
        <f>SUM(D123:F123)</f>
        <v>0</v>
      </c>
      <c r="H123" s="60"/>
      <c r="I123" s="60"/>
      <c r="J123" s="60"/>
      <c r="K123" s="61">
        <f>SUM(H123:J123)</f>
        <v>0</v>
      </c>
      <c r="L123" s="60"/>
      <c r="M123" s="60"/>
      <c r="N123" s="60"/>
      <c r="O123" s="61">
        <f>SUM(L123:N123)</f>
        <v>0</v>
      </c>
      <c r="P123" s="60"/>
      <c r="Q123" s="60"/>
      <c r="R123" s="60"/>
      <c r="S123" s="61">
        <f>SUM(P123:R123)</f>
        <v>0</v>
      </c>
      <c r="T123" s="60">
        <v>7</v>
      </c>
      <c r="U123" s="60"/>
      <c r="V123" s="60"/>
      <c r="W123" s="61">
        <f>SUM(T123:V123)</f>
        <v>7</v>
      </c>
      <c r="X123" s="60"/>
      <c r="Y123" s="60">
        <v>2</v>
      </c>
      <c r="Z123" s="60"/>
      <c r="AA123" s="61">
        <f>SUM(X123:Z123)</f>
        <v>2</v>
      </c>
      <c r="AB123" s="60"/>
      <c r="AC123" s="60"/>
      <c r="AD123" s="60"/>
      <c r="AE123" s="61">
        <f>SUM(AB123:AD123)</f>
        <v>0</v>
      </c>
      <c r="AF123" s="68">
        <f t="shared" si="16"/>
        <v>9</v>
      </c>
    </row>
    <row r="124" spans="1:32" hidden="1" x14ac:dyDescent="0.35">
      <c r="A124" s="111"/>
      <c r="B124" s="54"/>
      <c r="C124" s="63" t="s">
        <v>227</v>
      </c>
      <c r="D124" s="63"/>
      <c r="E124" s="63"/>
      <c r="F124" s="63"/>
      <c r="G124" s="61">
        <f>SUM(D124:F124)</f>
        <v>0</v>
      </c>
      <c r="H124" s="63"/>
      <c r="I124" s="63"/>
      <c r="J124" s="63"/>
      <c r="K124" s="61">
        <f>SUM(H124:J124)</f>
        <v>0</v>
      </c>
      <c r="L124" s="63"/>
      <c r="M124" s="63"/>
      <c r="N124" s="63"/>
      <c r="O124" s="61">
        <f>SUM(L124:N124)</f>
        <v>0</v>
      </c>
      <c r="P124" s="63"/>
      <c r="Q124" s="63"/>
      <c r="R124" s="63"/>
      <c r="S124" s="61">
        <f>SUM(P124:R124)</f>
        <v>0</v>
      </c>
      <c r="T124" s="63">
        <v>12</v>
      </c>
      <c r="U124" s="63"/>
      <c r="V124" s="63">
        <v>4</v>
      </c>
      <c r="W124" s="61">
        <f>SUM(T124:V124)</f>
        <v>16</v>
      </c>
      <c r="X124" s="63"/>
      <c r="Y124" s="63"/>
      <c r="Z124" s="63"/>
      <c r="AA124" s="61">
        <f>SUM(X124:Z124)</f>
        <v>0</v>
      </c>
      <c r="AB124" s="63"/>
      <c r="AC124" s="63"/>
      <c r="AD124" s="63"/>
      <c r="AE124" s="61">
        <f>SUM(AB124:AD124)</f>
        <v>0</v>
      </c>
      <c r="AF124" s="68">
        <f t="shared" si="16"/>
        <v>16</v>
      </c>
    </row>
    <row r="125" spans="1:32" hidden="1" x14ac:dyDescent="0.35">
      <c r="A125" s="111"/>
      <c r="B125" s="54"/>
      <c r="C125" s="60" t="s">
        <v>228</v>
      </c>
      <c r="D125" s="60"/>
      <c r="E125" s="60"/>
      <c r="F125" s="60"/>
      <c r="G125" s="61">
        <f>SUM(D125:F125)</f>
        <v>0</v>
      </c>
      <c r="H125" s="60"/>
      <c r="I125" s="60"/>
      <c r="J125" s="60"/>
      <c r="K125" s="61">
        <f>SUM(H125:J125)</f>
        <v>0</v>
      </c>
      <c r="L125" s="60"/>
      <c r="M125" s="60"/>
      <c r="N125" s="60"/>
      <c r="O125" s="61">
        <f>SUM(L125:N125)</f>
        <v>0</v>
      </c>
      <c r="P125" s="60"/>
      <c r="Q125" s="60"/>
      <c r="R125" s="60"/>
      <c r="S125" s="61">
        <f>SUM(P125:R125)</f>
        <v>0</v>
      </c>
      <c r="T125" s="60">
        <v>8</v>
      </c>
      <c r="U125" s="60"/>
      <c r="V125" s="60">
        <v>3</v>
      </c>
      <c r="W125" s="61">
        <f>SUM(T125:V125)</f>
        <v>11</v>
      </c>
      <c r="X125" s="60"/>
      <c r="Y125" s="60">
        <v>1</v>
      </c>
      <c r="Z125" s="60"/>
      <c r="AA125" s="61">
        <f>SUM(X125:Z125)</f>
        <v>1</v>
      </c>
      <c r="AB125" s="60"/>
      <c r="AC125" s="60"/>
      <c r="AD125" s="60"/>
      <c r="AE125" s="61">
        <f>SUM(AB125:AD125)</f>
        <v>0</v>
      </c>
      <c r="AF125" s="68">
        <f t="shared" si="16"/>
        <v>12</v>
      </c>
    </row>
    <row r="126" spans="1:32" hidden="1" x14ac:dyDescent="0.35">
      <c r="A126" s="111"/>
      <c r="B126" s="54"/>
      <c r="C126" s="63" t="s">
        <v>235</v>
      </c>
      <c r="D126" s="63"/>
      <c r="E126" s="63"/>
      <c r="F126" s="63"/>
      <c r="G126" s="61">
        <f>SUM(D126:F126)</f>
        <v>0</v>
      </c>
      <c r="H126" s="63"/>
      <c r="I126" s="63"/>
      <c r="J126" s="63"/>
      <c r="K126" s="61">
        <f>SUM(H126:J126)</f>
        <v>0</v>
      </c>
      <c r="L126" s="63"/>
      <c r="M126" s="63"/>
      <c r="N126" s="63"/>
      <c r="O126" s="61">
        <f>SUM(L126:N126)</f>
        <v>0</v>
      </c>
      <c r="P126" s="63"/>
      <c r="Q126" s="63"/>
      <c r="R126" s="63"/>
      <c r="S126" s="61">
        <f>SUM(P126:R126)</f>
        <v>0</v>
      </c>
      <c r="T126" s="63">
        <v>18</v>
      </c>
      <c r="U126" s="63"/>
      <c r="V126" s="63"/>
      <c r="W126" s="61">
        <f>SUM(T126:V126)</f>
        <v>18</v>
      </c>
      <c r="X126" s="63"/>
      <c r="Y126" s="63"/>
      <c r="Z126" s="63"/>
      <c r="AA126" s="61">
        <f>SUM(X126:Z126)</f>
        <v>0</v>
      </c>
      <c r="AB126" s="63"/>
      <c r="AC126" s="63"/>
      <c r="AD126" s="63"/>
      <c r="AE126" s="61">
        <f>SUM(AB126:AD126)</f>
        <v>0</v>
      </c>
      <c r="AF126" s="68">
        <f t="shared" si="16"/>
        <v>18</v>
      </c>
    </row>
    <row r="127" spans="1:32" hidden="1" x14ac:dyDescent="0.35">
      <c r="A127" s="66" t="s">
        <v>260</v>
      </c>
      <c r="B127" s="67"/>
      <c r="C127" s="66"/>
      <c r="D127" s="66">
        <f t="shared" ref="D127:AE127" si="29">SUM(D123:D126)</f>
        <v>0</v>
      </c>
      <c r="E127" s="66">
        <f t="shared" si="29"/>
        <v>0</v>
      </c>
      <c r="F127" s="66">
        <f t="shared" si="29"/>
        <v>0</v>
      </c>
      <c r="G127" s="61">
        <f t="shared" si="29"/>
        <v>0</v>
      </c>
      <c r="H127" s="66">
        <f t="shared" si="29"/>
        <v>0</v>
      </c>
      <c r="I127" s="66">
        <f t="shared" si="29"/>
        <v>0</v>
      </c>
      <c r="J127" s="66">
        <f t="shared" si="29"/>
        <v>0</v>
      </c>
      <c r="K127" s="61">
        <f t="shared" si="29"/>
        <v>0</v>
      </c>
      <c r="L127" s="66">
        <f t="shared" si="29"/>
        <v>0</v>
      </c>
      <c r="M127" s="66">
        <f t="shared" si="29"/>
        <v>0</v>
      </c>
      <c r="N127" s="66">
        <f t="shared" si="29"/>
        <v>0</v>
      </c>
      <c r="O127" s="61">
        <f t="shared" si="29"/>
        <v>0</v>
      </c>
      <c r="P127" s="66">
        <f t="shared" si="29"/>
        <v>0</v>
      </c>
      <c r="Q127" s="66">
        <f t="shared" si="29"/>
        <v>0</v>
      </c>
      <c r="R127" s="66">
        <f t="shared" si="29"/>
        <v>0</v>
      </c>
      <c r="S127" s="61">
        <f t="shared" si="29"/>
        <v>0</v>
      </c>
      <c r="T127" s="66">
        <f t="shared" si="29"/>
        <v>45</v>
      </c>
      <c r="U127" s="66">
        <f t="shared" si="29"/>
        <v>0</v>
      </c>
      <c r="V127" s="66">
        <f t="shared" si="29"/>
        <v>7</v>
      </c>
      <c r="W127" s="61">
        <f t="shared" si="29"/>
        <v>52</v>
      </c>
      <c r="X127" s="66">
        <f t="shared" si="29"/>
        <v>0</v>
      </c>
      <c r="Y127" s="66">
        <f t="shared" si="29"/>
        <v>3</v>
      </c>
      <c r="Z127" s="66">
        <f t="shared" si="29"/>
        <v>0</v>
      </c>
      <c r="AA127" s="61">
        <f t="shared" si="29"/>
        <v>3</v>
      </c>
      <c r="AB127" s="66">
        <f t="shared" si="29"/>
        <v>0</v>
      </c>
      <c r="AC127" s="66">
        <f t="shared" si="29"/>
        <v>0</v>
      </c>
      <c r="AD127" s="66">
        <f t="shared" si="29"/>
        <v>0</v>
      </c>
      <c r="AE127" s="61">
        <f t="shared" si="29"/>
        <v>0</v>
      </c>
      <c r="AF127" s="68">
        <f t="shared" si="16"/>
        <v>55</v>
      </c>
    </row>
    <row r="128" spans="1:32" x14ac:dyDescent="0.35">
      <c r="A128" s="66" t="s">
        <v>281</v>
      </c>
      <c r="B128" s="67">
        <v>14</v>
      </c>
      <c r="C128" s="66"/>
      <c r="D128" s="66">
        <f t="shared" ref="D128:AE128" si="30">SUM(D127,D122)</f>
        <v>0</v>
      </c>
      <c r="E128" s="66">
        <f t="shared" si="30"/>
        <v>0</v>
      </c>
      <c r="F128" s="66">
        <f t="shared" si="30"/>
        <v>0</v>
      </c>
      <c r="G128" s="61">
        <f t="shared" si="30"/>
        <v>0</v>
      </c>
      <c r="H128" s="66">
        <f t="shared" si="30"/>
        <v>0</v>
      </c>
      <c r="I128" s="66">
        <f t="shared" si="30"/>
        <v>0</v>
      </c>
      <c r="J128" s="66">
        <f t="shared" si="30"/>
        <v>0</v>
      </c>
      <c r="K128" s="61">
        <f t="shared" si="30"/>
        <v>0</v>
      </c>
      <c r="L128" s="66">
        <f t="shared" si="30"/>
        <v>0</v>
      </c>
      <c r="M128" s="66">
        <f t="shared" si="30"/>
        <v>0</v>
      </c>
      <c r="N128" s="66">
        <f t="shared" si="30"/>
        <v>0</v>
      </c>
      <c r="O128" s="61">
        <f t="shared" si="30"/>
        <v>0</v>
      </c>
      <c r="P128" s="66">
        <f t="shared" si="30"/>
        <v>0</v>
      </c>
      <c r="Q128" s="66">
        <f t="shared" si="30"/>
        <v>0</v>
      </c>
      <c r="R128" s="66">
        <f t="shared" si="30"/>
        <v>0</v>
      </c>
      <c r="S128" s="61">
        <f t="shared" si="30"/>
        <v>0</v>
      </c>
      <c r="T128" s="66">
        <f t="shared" si="30"/>
        <v>54</v>
      </c>
      <c r="U128" s="66">
        <f t="shared" si="30"/>
        <v>0</v>
      </c>
      <c r="V128" s="66">
        <f t="shared" si="30"/>
        <v>7</v>
      </c>
      <c r="W128" s="61">
        <f t="shared" si="30"/>
        <v>61</v>
      </c>
      <c r="X128" s="66">
        <f t="shared" si="30"/>
        <v>0</v>
      </c>
      <c r="Y128" s="66">
        <f t="shared" si="30"/>
        <v>3</v>
      </c>
      <c r="Z128" s="66">
        <f t="shared" si="30"/>
        <v>0</v>
      </c>
      <c r="AA128" s="61">
        <f t="shared" si="30"/>
        <v>3</v>
      </c>
      <c r="AB128" s="66">
        <f t="shared" si="30"/>
        <v>0</v>
      </c>
      <c r="AC128" s="66">
        <f t="shared" si="30"/>
        <v>0</v>
      </c>
      <c r="AD128" s="66">
        <f t="shared" si="30"/>
        <v>0</v>
      </c>
      <c r="AE128" s="61">
        <f t="shared" si="30"/>
        <v>0</v>
      </c>
      <c r="AF128" s="68">
        <f t="shared" si="16"/>
        <v>64</v>
      </c>
    </row>
    <row r="129" spans="1:32" hidden="1" x14ac:dyDescent="0.35">
      <c r="A129" s="59" t="s">
        <v>283</v>
      </c>
      <c r="B129" s="54">
        <v>7</v>
      </c>
      <c r="C129" s="60" t="s">
        <v>225</v>
      </c>
      <c r="D129" s="60"/>
      <c r="E129" s="60"/>
      <c r="F129" s="60"/>
      <c r="G129" s="61">
        <f>SUM(D129:F129)</f>
        <v>0</v>
      </c>
      <c r="H129" s="60"/>
      <c r="I129" s="60"/>
      <c r="J129" s="60"/>
      <c r="K129" s="61">
        <f>SUM(H129:J129)</f>
        <v>0</v>
      </c>
      <c r="L129" s="60"/>
      <c r="M129" s="60"/>
      <c r="N129" s="60"/>
      <c r="O129" s="61">
        <f>SUM(L129:N129)</f>
        <v>0</v>
      </c>
      <c r="P129" s="60"/>
      <c r="Q129" s="60"/>
      <c r="R129" s="60"/>
      <c r="S129" s="61">
        <f>SUM(P129:R129)</f>
        <v>0</v>
      </c>
      <c r="T129" s="60"/>
      <c r="U129" s="60"/>
      <c r="V129" s="60"/>
      <c r="W129" s="61">
        <f>SUM(T129:V129)</f>
        <v>0</v>
      </c>
      <c r="X129" s="60"/>
      <c r="Y129" s="60"/>
      <c r="Z129" s="60"/>
      <c r="AA129" s="61">
        <f>SUM(X129:Z129)</f>
        <v>0</v>
      </c>
      <c r="AB129" s="60"/>
      <c r="AC129" s="60"/>
      <c r="AD129" s="60"/>
      <c r="AE129" s="61">
        <f>SUM(AB129:AD129)</f>
        <v>0</v>
      </c>
      <c r="AF129" s="68">
        <f t="shared" si="16"/>
        <v>0</v>
      </c>
    </row>
    <row r="130" spans="1:32" hidden="1" x14ac:dyDescent="0.35">
      <c r="A130" s="111" t="s">
        <v>284</v>
      </c>
      <c r="B130" s="54"/>
      <c r="C130" s="63" t="s">
        <v>227</v>
      </c>
      <c r="D130" s="63"/>
      <c r="E130" s="63"/>
      <c r="F130" s="63"/>
      <c r="G130" s="61">
        <f>SUM(D130:F130)</f>
        <v>0</v>
      </c>
      <c r="H130" s="63"/>
      <c r="I130" s="63"/>
      <c r="J130" s="63"/>
      <c r="K130" s="61">
        <f>SUM(H130:J130)</f>
        <v>0</v>
      </c>
      <c r="L130" s="63"/>
      <c r="M130" s="63"/>
      <c r="N130" s="63"/>
      <c r="O130" s="61">
        <f>SUM(L130:N130)</f>
        <v>0</v>
      </c>
      <c r="P130" s="63"/>
      <c r="Q130" s="63"/>
      <c r="R130" s="63"/>
      <c r="S130" s="61">
        <f>SUM(P130:R130)</f>
        <v>0</v>
      </c>
      <c r="T130" s="63"/>
      <c r="U130" s="63"/>
      <c r="V130" s="63"/>
      <c r="W130" s="61">
        <f>SUM(T130:V130)</f>
        <v>0</v>
      </c>
      <c r="X130" s="63"/>
      <c r="Y130" s="63"/>
      <c r="Z130" s="63"/>
      <c r="AA130" s="61">
        <f>SUM(X130:Z130)</f>
        <v>0</v>
      </c>
      <c r="AB130" s="63"/>
      <c r="AC130" s="63"/>
      <c r="AD130" s="63"/>
      <c r="AE130" s="61">
        <f>SUM(AB130:AD130)</f>
        <v>0</v>
      </c>
      <c r="AF130" s="68">
        <f t="shared" si="16"/>
        <v>0</v>
      </c>
    </row>
    <row r="131" spans="1:32" hidden="1" x14ac:dyDescent="0.35">
      <c r="A131" s="111"/>
      <c r="B131" s="54"/>
      <c r="C131" s="60" t="s">
        <v>228</v>
      </c>
      <c r="D131" s="60"/>
      <c r="E131" s="60"/>
      <c r="F131" s="60"/>
      <c r="G131" s="61">
        <f>SUM(D131:F131)</f>
        <v>0</v>
      </c>
      <c r="H131" s="60"/>
      <c r="I131" s="60"/>
      <c r="J131" s="60"/>
      <c r="K131" s="61">
        <f>SUM(H131:J131)</f>
        <v>0</v>
      </c>
      <c r="L131" s="60"/>
      <c r="M131" s="60"/>
      <c r="N131" s="60"/>
      <c r="O131" s="61">
        <f>SUM(L131:N131)</f>
        <v>0</v>
      </c>
      <c r="P131" s="60"/>
      <c r="Q131" s="60"/>
      <c r="R131" s="60"/>
      <c r="S131" s="61">
        <f>SUM(P131:R131)</f>
        <v>0</v>
      </c>
      <c r="T131" s="60"/>
      <c r="U131" s="60"/>
      <c r="V131" s="60"/>
      <c r="W131" s="61">
        <f>SUM(T131:V131)</f>
        <v>0</v>
      </c>
      <c r="X131" s="60"/>
      <c r="Y131" s="60"/>
      <c r="Z131" s="60"/>
      <c r="AA131" s="61">
        <f>SUM(X131:Z131)</f>
        <v>0</v>
      </c>
      <c r="AB131" s="60"/>
      <c r="AC131" s="60"/>
      <c r="AD131" s="60"/>
      <c r="AE131" s="61">
        <f>SUM(AB131:AD131)</f>
        <v>0</v>
      </c>
      <c r="AF131" s="68">
        <f t="shared" si="16"/>
        <v>0</v>
      </c>
    </row>
    <row r="132" spans="1:32" hidden="1" x14ac:dyDescent="0.35">
      <c r="A132" s="111"/>
      <c r="B132" s="54"/>
      <c r="C132" s="63" t="s">
        <v>235</v>
      </c>
      <c r="D132" s="63"/>
      <c r="E132" s="63"/>
      <c r="F132" s="63"/>
      <c r="G132" s="61">
        <f>SUM(D132:F132)</f>
        <v>0</v>
      </c>
      <c r="H132" s="63"/>
      <c r="I132" s="63"/>
      <c r="J132" s="63"/>
      <c r="K132" s="61">
        <f>SUM(H132:J132)</f>
        <v>0</v>
      </c>
      <c r="L132" s="63"/>
      <c r="M132" s="63"/>
      <c r="N132" s="63"/>
      <c r="O132" s="61">
        <f>SUM(L132:N132)</f>
        <v>0</v>
      </c>
      <c r="P132" s="63"/>
      <c r="Q132" s="63"/>
      <c r="R132" s="63"/>
      <c r="S132" s="61">
        <f>SUM(P132:R132)</f>
        <v>0</v>
      </c>
      <c r="T132" s="63"/>
      <c r="U132" s="63"/>
      <c r="V132" s="63"/>
      <c r="W132" s="61">
        <f>SUM(T132:V132)</f>
        <v>0</v>
      </c>
      <c r="X132" s="63"/>
      <c r="Y132" s="63"/>
      <c r="Z132" s="63"/>
      <c r="AA132" s="61">
        <f>SUM(X132:Z132)</f>
        <v>0</v>
      </c>
      <c r="AB132" s="63"/>
      <c r="AC132" s="63"/>
      <c r="AD132" s="63"/>
      <c r="AE132" s="61">
        <f>SUM(AB132:AD132)</f>
        <v>0</v>
      </c>
      <c r="AF132" s="68">
        <f t="shared" si="16"/>
        <v>0</v>
      </c>
    </row>
    <row r="133" spans="1:32" x14ac:dyDescent="0.35">
      <c r="A133" s="66" t="s">
        <v>283</v>
      </c>
      <c r="B133" s="67">
        <v>7</v>
      </c>
      <c r="C133" s="66"/>
      <c r="D133" s="66">
        <f t="shared" ref="D133:AE133" si="31">SUM(D129:D132)</f>
        <v>0</v>
      </c>
      <c r="E133" s="66">
        <f t="shared" si="31"/>
        <v>0</v>
      </c>
      <c r="F133" s="66">
        <f t="shared" si="31"/>
        <v>0</v>
      </c>
      <c r="G133" s="61">
        <f t="shared" si="31"/>
        <v>0</v>
      </c>
      <c r="H133" s="66">
        <f t="shared" si="31"/>
        <v>0</v>
      </c>
      <c r="I133" s="66">
        <f t="shared" si="31"/>
        <v>0</v>
      </c>
      <c r="J133" s="66">
        <f t="shared" si="31"/>
        <v>0</v>
      </c>
      <c r="K133" s="61">
        <f t="shared" si="31"/>
        <v>0</v>
      </c>
      <c r="L133" s="66">
        <f t="shared" si="31"/>
        <v>0</v>
      </c>
      <c r="M133" s="66">
        <f t="shared" si="31"/>
        <v>0</v>
      </c>
      <c r="N133" s="66">
        <f t="shared" si="31"/>
        <v>0</v>
      </c>
      <c r="O133" s="61">
        <f t="shared" si="31"/>
        <v>0</v>
      </c>
      <c r="P133" s="66">
        <f t="shared" si="31"/>
        <v>0</v>
      </c>
      <c r="Q133" s="66">
        <f t="shared" si="31"/>
        <v>0</v>
      </c>
      <c r="R133" s="66">
        <f t="shared" si="31"/>
        <v>0</v>
      </c>
      <c r="S133" s="61">
        <f t="shared" si="31"/>
        <v>0</v>
      </c>
      <c r="T133" s="66">
        <f t="shared" si="31"/>
        <v>0</v>
      </c>
      <c r="U133" s="66">
        <f t="shared" si="31"/>
        <v>0</v>
      </c>
      <c r="V133" s="66">
        <f t="shared" si="31"/>
        <v>0</v>
      </c>
      <c r="W133" s="61">
        <f t="shared" si="31"/>
        <v>0</v>
      </c>
      <c r="X133" s="66">
        <f t="shared" si="31"/>
        <v>0</v>
      </c>
      <c r="Y133" s="66">
        <f t="shared" si="31"/>
        <v>0</v>
      </c>
      <c r="Z133" s="66">
        <f t="shared" si="31"/>
        <v>0</v>
      </c>
      <c r="AA133" s="61">
        <f t="shared" si="31"/>
        <v>0</v>
      </c>
      <c r="AB133" s="66">
        <f t="shared" si="31"/>
        <v>0</v>
      </c>
      <c r="AC133" s="66">
        <f t="shared" si="31"/>
        <v>0</v>
      </c>
      <c r="AD133" s="66">
        <f t="shared" si="31"/>
        <v>0</v>
      </c>
      <c r="AE133" s="61">
        <f t="shared" si="31"/>
        <v>0</v>
      </c>
      <c r="AF133" s="68">
        <f t="shared" ref="AF133:AF196" si="32">SUM(G133,K133,O133,S133,W133,AA133,AE133)</f>
        <v>0</v>
      </c>
    </row>
    <row r="134" spans="1:32" hidden="1" x14ac:dyDescent="0.35">
      <c r="A134" s="59" t="s">
        <v>285</v>
      </c>
      <c r="B134" s="54">
        <v>21</v>
      </c>
      <c r="C134" s="60" t="s">
        <v>225</v>
      </c>
      <c r="D134" s="60"/>
      <c r="E134" s="60"/>
      <c r="F134" s="60"/>
      <c r="G134" s="61">
        <f>SUM(D134:F134)</f>
        <v>0</v>
      </c>
      <c r="H134" s="60"/>
      <c r="I134" s="60"/>
      <c r="J134" s="60"/>
      <c r="K134" s="61">
        <f>SUM(H134:J134)</f>
        <v>0</v>
      </c>
      <c r="L134" s="60"/>
      <c r="M134" s="60"/>
      <c r="N134" s="60"/>
      <c r="O134" s="61">
        <f>SUM(L134:N134)</f>
        <v>0</v>
      </c>
      <c r="P134" s="60"/>
      <c r="Q134" s="60"/>
      <c r="R134" s="60"/>
      <c r="S134" s="61">
        <f>SUM(P134:R134)</f>
        <v>0</v>
      </c>
      <c r="T134" s="60"/>
      <c r="U134" s="60"/>
      <c r="V134" s="60"/>
      <c r="W134" s="61">
        <f>SUM(T134:V134)</f>
        <v>0</v>
      </c>
      <c r="X134" s="60"/>
      <c r="Y134" s="60"/>
      <c r="Z134" s="60"/>
      <c r="AA134" s="61">
        <f>SUM(X134:Z134)</f>
        <v>0</v>
      </c>
      <c r="AB134" s="60"/>
      <c r="AC134" s="60"/>
      <c r="AD134" s="60"/>
      <c r="AE134" s="61">
        <f>SUM(AB134:AD134)</f>
        <v>0</v>
      </c>
      <c r="AF134" s="68">
        <f t="shared" si="32"/>
        <v>0</v>
      </c>
    </row>
    <row r="135" spans="1:32" hidden="1" x14ac:dyDescent="0.35">
      <c r="A135" s="111" t="s">
        <v>286</v>
      </c>
      <c r="B135" s="54"/>
      <c r="C135" s="63" t="s">
        <v>227</v>
      </c>
      <c r="D135" s="63"/>
      <c r="E135" s="63"/>
      <c r="F135" s="63"/>
      <c r="G135" s="61">
        <f>SUM(D135:F135)</f>
        <v>0</v>
      </c>
      <c r="H135" s="63"/>
      <c r="I135" s="63"/>
      <c r="J135" s="63"/>
      <c r="K135" s="61">
        <f>SUM(H135:J135)</f>
        <v>0</v>
      </c>
      <c r="L135" s="63"/>
      <c r="M135" s="63"/>
      <c r="N135" s="63"/>
      <c r="O135" s="61">
        <f>SUM(L135:N135)</f>
        <v>0</v>
      </c>
      <c r="P135" s="63"/>
      <c r="Q135" s="63"/>
      <c r="R135" s="63"/>
      <c r="S135" s="61">
        <f>SUM(P135:R135)</f>
        <v>0</v>
      </c>
      <c r="T135" s="63"/>
      <c r="U135" s="63"/>
      <c r="V135" s="63"/>
      <c r="W135" s="61">
        <f>SUM(T135:V135)</f>
        <v>0</v>
      </c>
      <c r="X135" s="63"/>
      <c r="Y135" s="63"/>
      <c r="Z135" s="63"/>
      <c r="AA135" s="61">
        <f>SUM(X135:Z135)</f>
        <v>0</v>
      </c>
      <c r="AB135" s="63"/>
      <c r="AC135" s="63"/>
      <c r="AD135" s="63"/>
      <c r="AE135" s="61">
        <f>SUM(AB135:AD135)</f>
        <v>0</v>
      </c>
      <c r="AF135" s="68">
        <f t="shared" si="32"/>
        <v>0</v>
      </c>
    </row>
    <row r="136" spans="1:32" hidden="1" x14ac:dyDescent="0.35">
      <c r="A136" s="111"/>
      <c r="B136" s="54"/>
      <c r="C136" s="60" t="s">
        <v>228</v>
      </c>
      <c r="D136" s="60"/>
      <c r="E136" s="60"/>
      <c r="F136" s="60"/>
      <c r="G136" s="61">
        <f>SUM(D136:F136)</f>
        <v>0</v>
      </c>
      <c r="H136" s="60"/>
      <c r="I136" s="60"/>
      <c r="J136" s="60"/>
      <c r="K136" s="61">
        <f>SUM(H136:J136)</f>
        <v>0</v>
      </c>
      <c r="L136" s="60"/>
      <c r="M136" s="60"/>
      <c r="N136" s="60"/>
      <c r="O136" s="61">
        <f>SUM(L136:N136)</f>
        <v>0</v>
      </c>
      <c r="P136" s="60"/>
      <c r="Q136" s="60"/>
      <c r="R136" s="60"/>
      <c r="S136" s="61">
        <f>SUM(P136:R136)</f>
        <v>0</v>
      </c>
      <c r="T136" s="60"/>
      <c r="U136" s="60"/>
      <c r="V136" s="60"/>
      <c r="W136" s="61">
        <f>SUM(T136:V136)</f>
        <v>0</v>
      </c>
      <c r="X136" s="60"/>
      <c r="Y136" s="60"/>
      <c r="Z136" s="60"/>
      <c r="AA136" s="61">
        <f>SUM(X136:Z136)</f>
        <v>0</v>
      </c>
      <c r="AB136" s="60"/>
      <c r="AC136" s="60"/>
      <c r="AD136" s="60"/>
      <c r="AE136" s="61">
        <f>SUM(AB136:AD136)</f>
        <v>0</v>
      </c>
      <c r="AF136" s="68">
        <f t="shared" si="32"/>
        <v>0</v>
      </c>
    </row>
    <row r="137" spans="1:32" hidden="1" x14ac:dyDescent="0.35">
      <c r="A137" s="111"/>
      <c r="B137" s="54"/>
      <c r="C137" s="63" t="s">
        <v>235</v>
      </c>
      <c r="D137" s="63"/>
      <c r="E137" s="63"/>
      <c r="F137" s="63"/>
      <c r="G137" s="61">
        <f>SUM(D137:F137)</f>
        <v>0</v>
      </c>
      <c r="H137" s="63"/>
      <c r="I137" s="63"/>
      <c r="J137" s="63"/>
      <c r="K137" s="61">
        <f>SUM(H137:J137)</f>
        <v>0</v>
      </c>
      <c r="L137" s="63"/>
      <c r="M137" s="63"/>
      <c r="N137" s="63"/>
      <c r="O137" s="61">
        <f>SUM(L137:N137)</f>
        <v>0</v>
      </c>
      <c r="P137" s="63"/>
      <c r="Q137" s="63"/>
      <c r="R137" s="63"/>
      <c r="S137" s="61">
        <f>SUM(P137:R137)</f>
        <v>0</v>
      </c>
      <c r="T137" s="63"/>
      <c r="U137" s="63"/>
      <c r="V137" s="63"/>
      <c r="W137" s="61">
        <f>SUM(T137:V137)</f>
        <v>0</v>
      </c>
      <c r="X137" s="63"/>
      <c r="Y137" s="63"/>
      <c r="Z137" s="63"/>
      <c r="AA137" s="61">
        <f>SUM(X137:Z137)</f>
        <v>0</v>
      </c>
      <c r="AB137" s="63"/>
      <c r="AC137" s="63"/>
      <c r="AD137" s="63"/>
      <c r="AE137" s="61">
        <f>SUM(AB137:AD137)</f>
        <v>0</v>
      </c>
      <c r="AF137" s="68">
        <f t="shared" si="32"/>
        <v>0</v>
      </c>
    </row>
    <row r="138" spans="1:32" hidden="1" x14ac:dyDescent="0.35">
      <c r="A138" s="66" t="s">
        <v>286</v>
      </c>
      <c r="B138" s="67"/>
      <c r="C138" s="66"/>
      <c r="D138" s="66">
        <f t="shared" ref="D138:AE138" si="33">SUM(D134:D137)</f>
        <v>0</v>
      </c>
      <c r="E138" s="66">
        <f t="shared" si="33"/>
        <v>0</v>
      </c>
      <c r="F138" s="66">
        <f t="shared" si="33"/>
        <v>0</v>
      </c>
      <c r="G138" s="61">
        <f t="shared" si="33"/>
        <v>0</v>
      </c>
      <c r="H138" s="66">
        <f t="shared" si="33"/>
        <v>0</v>
      </c>
      <c r="I138" s="66">
        <f t="shared" si="33"/>
        <v>0</v>
      </c>
      <c r="J138" s="66">
        <f t="shared" si="33"/>
        <v>0</v>
      </c>
      <c r="K138" s="61">
        <f t="shared" si="33"/>
        <v>0</v>
      </c>
      <c r="L138" s="66">
        <f t="shared" si="33"/>
        <v>0</v>
      </c>
      <c r="M138" s="66">
        <f t="shared" si="33"/>
        <v>0</v>
      </c>
      <c r="N138" s="66">
        <f t="shared" si="33"/>
        <v>0</v>
      </c>
      <c r="O138" s="61">
        <f t="shared" si="33"/>
        <v>0</v>
      </c>
      <c r="P138" s="66">
        <f t="shared" si="33"/>
        <v>0</v>
      </c>
      <c r="Q138" s="66">
        <f t="shared" si="33"/>
        <v>0</v>
      </c>
      <c r="R138" s="66">
        <f t="shared" si="33"/>
        <v>0</v>
      </c>
      <c r="S138" s="61">
        <f t="shared" si="33"/>
        <v>0</v>
      </c>
      <c r="T138" s="66">
        <f t="shared" si="33"/>
        <v>0</v>
      </c>
      <c r="U138" s="66">
        <f t="shared" si="33"/>
        <v>0</v>
      </c>
      <c r="V138" s="66">
        <f t="shared" si="33"/>
        <v>0</v>
      </c>
      <c r="W138" s="61">
        <f t="shared" si="33"/>
        <v>0</v>
      </c>
      <c r="X138" s="66">
        <f t="shared" si="33"/>
        <v>0</v>
      </c>
      <c r="Y138" s="66">
        <f t="shared" si="33"/>
        <v>0</v>
      </c>
      <c r="Z138" s="66">
        <f t="shared" si="33"/>
        <v>0</v>
      </c>
      <c r="AA138" s="61">
        <f t="shared" si="33"/>
        <v>0</v>
      </c>
      <c r="AB138" s="66">
        <f t="shared" si="33"/>
        <v>0</v>
      </c>
      <c r="AC138" s="66">
        <f t="shared" si="33"/>
        <v>0</v>
      </c>
      <c r="AD138" s="66">
        <f t="shared" si="33"/>
        <v>0</v>
      </c>
      <c r="AE138" s="61">
        <f t="shared" si="33"/>
        <v>0</v>
      </c>
      <c r="AF138" s="68">
        <f t="shared" si="32"/>
        <v>0</v>
      </c>
    </row>
    <row r="139" spans="1:32" hidden="1" x14ac:dyDescent="0.35">
      <c r="A139" s="111" t="s">
        <v>287</v>
      </c>
      <c r="B139" s="54"/>
      <c r="C139" s="60" t="s">
        <v>225</v>
      </c>
      <c r="D139" s="60"/>
      <c r="E139" s="60"/>
      <c r="F139" s="60"/>
      <c r="G139" s="61">
        <f>SUM(D139:F139)</f>
        <v>0</v>
      </c>
      <c r="H139" s="60"/>
      <c r="I139" s="60"/>
      <c r="J139" s="60"/>
      <c r="K139" s="61">
        <f>SUM(H139:J139)</f>
        <v>0</v>
      </c>
      <c r="L139" s="60"/>
      <c r="M139" s="60"/>
      <c r="N139" s="60"/>
      <c r="O139" s="61">
        <f>SUM(L139:N139)</f>
        <v>0</v>
      </c>
      <c r="P139" s="60"/>
      <c r="Q139" s="60"/>
      <c r="R139" s="60"/>
      <c r="S139" s="61">
        <f>SUM(P139:R139)</f>
        <v>0</v>
      </c>
      <c r="T139" s="60"/>
      <c r="U139" s="60">
        <v>1</v>
      </c>
      <c r="V139" s="60"/>
      <c r="W139" s="61">
        <f>SUM(T139:V139)</f>
        <v>1</v>
      </c>
      <c r="X139" s="60"/>
      <c r="Y139" s="60"/>
      <c r="Z139" s="60"/>
      <c r="AA139" s="61">
        <f>SUM(X139:Z139)</f>
        <v>0</v>
      </c>
      <c r="AB139" s="60"/>
      <c r="AC139" s="60"/>
      <c r="AD139" s="60"/>
      <c r="AE139" s="61">
        <f>SUM(AB139:AD139)</f>
        <v>0</v>
      </c>
      <c r="AF139" s="68">
        <f t="shared" si="32"/>
        <v>1</v>
      </c>
    </row>
    <row r="140" spans="1:32" hidden="1" x14ac:dyDescent="0.35">
      <c r="A140" s="111"/>
      <c r="B140" s="54"/>
      <c r="C140" s="63" t="s">
        <v>227</v>
      </c>
      <c r="D140" s="63"/>
      <c r="E140" s="63"/>
      <c r="F140" s="63"/>
      <c r="G140" s="61">
        <f>SUM(D140:F140)</f>
        <v>0</v>
      </c>
      <c r="H140" s="63"/>
      <c r="I140" s="63"/>
      <c r="J140" s="63"/>
      <c r="K140" s="61">
        <f>SUM(H140:J140)</f>
        <v>0</v>
      </c>
      <c r="L140" s="63"/>
      <c r="M140" s="63"/>
      <c r="N140" s="63"/>
      <c r="O140" s="61">
        <f>SUM(L140:N140)</f>
        <v>0</v>
      </c>
      <c r="P140" s="63"/>
      <c r="Q140" s="63"/>
      <c r="R140" s="63"/>
      <c r="S140" s="61">
        <f>SUM(P140:R140)</f>
        <v>0</v>
      </c>
      <c r="T140" s="63">
        <v>1</v>
      </c>
      <c r="U140" s="63">
        <v>1</v>
      </c>
      <c r="V140" s="63"/>
      <c r="W140" s="61">
        <f>SUM(T140:V140)</f>
        <v>2</v>
      </c>
      <c r="X140" s="63"/>
      <c r="Y140" s="63"/>
      <c r="Z140" s="63"/>
      <c r="AA140" s="61">
        <f>SUM(X140:Z140)</f>
        <v>0</v>
      </c>
      <c r="AB140" s="63"/>
      <c r="AC140" s="63"/>
      <c r="AD140" s="63"/>
      <c r="AE140" s="61">
        <f>SUM(AB140:AD140)</f>
        <v>0</v>
      </c>
      <c r="AF140" s="68">
        <f t="shared" si="32"/>
        <v>2</v>
      </c>
    </row>
    <row r="141" spans="1:32" hidden="1" x14ac:dyDescent="0.35">
      <c r="A141" s="111"/>
      <c r="B141" s="54"/>
      <c r="C141" s="60" t="s">
        <v>228</v>
      </c>
      <c r="D141" s="60"/>
      <c r="E141" s="60"/>
      <c r="F141" s="60"/>
      <c r="G141" s="61">
        <f>SUM(D141:F141)</f>
        <v>0</v>
      </c>
      <c r="H141" s="60"/>
      <c r="I141" s="60"/>
      <c r="J141" s="60"/>
      <c r="K141" s="61">
        <f>SUM(H141:J141)</f>
        <v>0</v>
      </c>
      <c r="L141" s="60"/>
      <c r="M141" s="60"/>
      <c r="N141" s="60"/>
      <c r="O141" s="61">
        <f>SUM(L141:N141)</f>
        <v>0</v>
      </c>
      <c r="P141" s="60"/>
      <c r="Q141" s="60"/>
      <c r="R141" s="60"/>
      <c r="S141" s="61">
        <f>SUM(P141:R141)</f>
        <v>0</v>
      </c>
      <c r="T141" s="60"/>
      <c r="U141" s="60"/>
      <c r="V141" s="60"/>
      <c r="W141" s="61">
        <f>SUM(T141:V141)</f>
        <v>0</v>
      </c>
      <c r="X141" s="60"/>
      <c r="Y141" s="60"/>
      <c r="Z141" s="60"/>
      <c r="AA141" s="61">
        <f>SUM(X141:Z141)</f>
        <v>0</v>
      </c>
      <c r="AB141" s="60"/>
      <c r="AC141" s="60"/>
      <c r="AD141" s="60"/>
      <c r="AE141" s="61">
        <f>SUM(AB141:AD141)</f>
        <v>0</v>
      </c>
      <c r="AF141" s="68">
        <f t="shared" si="32"/>
        <v>0</v>
      </c>
    </row>
    <row r="142" spans="1:32" hidden="1" x14ac:dyDescent="0.35">
      <c r="A142" s="111"/>
      <c r="B142" s="54"/>
      <c r="C142" s="63" t="s">
        <v>235</v>
      </c>
      <c r="D142" s="63"/>
      <c r="E142" s="63"/>
      <c r="F142" s="63"/>
      <c r="G142" s="61">
        <f>SUM(D142:F142)</f>
        <v>0</v>
      </c>
      <c r="H142" s="63"/>
      <c r="I142" s="63"/>
      <c r="J142" s="63"/>
      <c r="K142" s="61">
        <f>SUM(H142:J142)</f>
        <v>0</v>
      </c>
      <c r="L142" s="63"/>
      <c r="M142" s="63"/>
      <c r="N142" s="63"/>
      <c r="O142" s="61">
        <f>SUM(L142:N142)</f>
        <v>0</v>
      </c>
      <c r="P142" s="63"/>
      <c r="Q142" s="63"/>
      <c r="R142" s="63"/>
      <c r="S142" s="61">
        <f>SUM(P142:R142)</f>
        <v>0</v>
      </c>
      <c r="T142" s="63"/>
      <c r="U142" s="63"/>
      <c r="V142" s="63"/>
      <c r="W142" s="61">
        <f>SUM(T142:V142)</f>
        <v>0</v>
      </c>
      <c r="X142" s="63"/>
      <c r="Y142" s="63"/>
      <c r="Z142" s="63"/>
      <c r="AA142" s="61">
        <f>SUM(X142:Z142)</f>
        <v>0</v>
      </c>
      <c r="AB142" s="63"/>
      <c r="AC142" s="63"/>
      <c r="AD142" s="63"/>
      <c r="AE142" s="61">
        <f>SUM(AB142:AD142)</f>
        <v>0</v>
      </c>
      <c r="AF142" s="68">
        <f t="shared" si="32"/>
        <v>0</v>
      </c>
    </row>
    <row r="143" spans="1:32" hidden="1" x14ac:dyDescent="0.35">
      <c r="A143" s="76" t="s">
        <v>288</v>
      </c>
      <c r="B143" s="67"/>
      <c r="C143" s="66"/>
      <c r="D143" s="66">
        <f t="shared" ref="D143:AE143" si="34">SUM(D139:D142)</f>
        <v>0</v>
      </c>
      <c r="E143" s="66">
        <f t="shared" si="34"/>
        <v>0</v>
      </c>
      <c r="F143" s="66">
        <f t="shared" si="34"/>
        <v>0</v>
      </c>
      <c r="G143" s="61">
        <f t="shared" si="34"/>
        <v>0</v>
      </c>
      <c r="H143" s="66">
        <f t="shared" si="34"/>
        <v>0</v>
      </c>
      <c r="I143" s="66">
        <f t="shared" si="34"/>
        <v>0</v>
      </c>
      <c r="J143" s="66">
        <f t="shared" si="34"/>
        <v>0</v>
      </c>
      <c r="K143" s="61">
        <f t="shared" si="34"/>
        <v>0</v>
      </c>
      <c r="L143" s="66">
        <f t="shared" si="34"/>
        <v>0</v>
      </c>
      <c r="M143" s="66">
        <f t="shared" si="34"/>
        <v>0</v>
      </c>
      <c r="N143" s="66">
        <f t="shared" si="34"/>
        <v>0</v>
      </c>
      <c r="O143" s="61">
        <f t="shared" si="34"/>
        <v>0</v>
      </c>
      <c r="P143" s="66">
        <f t="shared" si="34"/>
        <v>0</v>
      </c>
      <c r="Q143" s="66">
        <f t="shared" si="34"/>
        <v>0</v>
      </c>
      <c r="R143" s="66">
        <f t="shared" si="34"/>
        <v>0</v>
      </c>
      <c r="S143" s="61">
        <f t="shared" si="34"/>
        <v>0</v>
      </c>
      <c r="T143" s="66">
        <f t="shared" si="34"/>
        <v>1</v>
      </c>
      <c r="U143" s="66">
        <f t="shared" si="34"/>
        <v>2</v>
      </c>
      <c r="V143" s="66">
        <f t="shared" si="34"/>
        <v>0</v>
      </c>
      <c r="W143" s="61">
        <f t="shared" si="34"/>
        <v>3</v>
      </c>
      <c r="X143" s="66">
        <f t="shared" si="34"/>
        <v>0</v>
      </c>
      <c r="Y143" s="66">
        <f t="shared" si="34"/>
        <v>0</v>
      </c>
      <c r="Z143" s="66">
        <f t="shared" si="34"/>
        <v>0</v>
      </c>
      <c r="AA143" s="61">
        <f t="shared" si="34"/>
        <v>0</v>
      </c>
      <c r="AB143" s="66">
        <f t="shared" si="34"/>
        <v>0</v>
      </c>
      <c r="AC143" s="66">
        <f t="shared" si="34"/>
        <v>0</v>
      </c>
      <c r="AD143" s="66">
        <f t="shared" si="34"/>
        <v>0</v>
      </c>
      <c r="AE143" s="61">
        <f t="shared" si="34"/>
        <v>0</v>
      </c>
      <c r="AF143" s="68">
        <f t="shared" si="32"/>
        <v>3</v>
      </c>
    </row>
    <row r="144" spans="1:32" x14ac:dyDescent="0.35">
      <c r="A144" s="66" t="s">
        <v>285</v>
      </c>
      <c r="B144" s="67">
        <v>21</v>
      </c>
      <c r="C144" s="66"/>
      <c r="D144" s="66">
        <f t="shared" ref="D144:AE144" si="35">SUM(D143,D138)</f>
        <v>0</v>
      </c>
      <c r="E144" s="66">
        <f t="shared" si="35"/>
        <v>0</v>
      </c>
      <c r="F144" s="66">
        <f t="shared" si="35"/>
        <v>0</v>
      </c>
      <c r="G144" s="61">
        <f t="shared" si="35"/>
        <v>0</v>
      </c>
      <c r="H144" s="66">
        <f t="shared" si="35"/>
        <v>0</v>
      </c>
      <c r="I144" s="66">
        <f t="shared" si="35"/>
        <v>0</v>
      </c>
      <c r="J144" s="66">
        <f t="shared" si="35"/>
        <v>0</v>
      </c>
      <c r="K144" s="61">
        <f t="shared" si="35"/>
        <v>0</v>
      </c>
      <c r="L144" s="66">
        <f t="shared" si="35"/>
        <v>0</v>
      </c>
      <c r="M144" s="66">
        <f t="shared" si="35"/>
        <v>0</v>
      </c>
      <c r="N144" s="66">
        <f t="shared" si="35"/>
        <v>0</v>
      </c>
      <c r="O144" s="61">
        <f t="shared" si="35"/>
        <v>0</v>
      </c>
      <c r="P144" s="66">
        <f t="shared" si="35"/>
        <v>0</v>
      </c>
      <c r="Q144" s="66">
        <f t="shared" si="35"/>
        <v>0</v>
      </c>
      <c r="R144" s="66">
        <f t="shared" si="35"/>
        <v>0</v>
      </c>
      <c r="S144" s="61">
        <f t="shared" si="35"/>
        <v>0</v>
      </c>
      <c r="T144" s="66">
        <f t="shared" si="35"/>
        <v>1</v>
      </c>
      <c r="U144" s="66">
        <f t="shared" si="35"/>
        <v>2</v>
      </c>
      <c r="V144" s="66">
        <f t="shared" si="35"/>
        <v>0</v>
      </c>
      <c r="W144" s="61">
        <f t="shared" si="35"/>
        <v>3</v>
      </c>
      <c r="X144" s="66">
        <f t="shared" si="35"/>
        <v>0</v>
      </c>
      <c r="Y144" s="66">
        <f t="shared" si="35"/>
        <v>0</v>
      </c>
      <c r="Z144" s="66">
        <f t="shared" si="35"/>
        <v>0</v>
      </c>
      <c r="AA144" s="61">
        <f t="shared" si="35"/>
        <v>0</v>
      </c>
      <c r="AB144" s="66">
        <f t="shared" si="35"/>
        <v>0</v>
      </c>
      <c r="AC144" s="66">
        <f t="shared" si="35"/>
        <v>0</v>
      </c>
      <c r="AD144" s="66">
        <f t="shared" si="35"/>
        <v>0</v>
      </c>
      <c r="AE144" s="61">
        <f t="shared" si="35"/>
        <v>0</v>
      </c>
      <c r="AF144" s="68">
        <f t="shared" si="32"/>
        <v>3</v>
      </c>
    </row>
    <row r="145" spans="1:32" hidden="1" x14ac:dyDescent="0.35">
      <c r="A145" s="59" t="s">
        <v>289</v>
      </c>
      <c r="B145" s="54" t="s">
        <v>290</v>
      </c>
      <c r="C145" s="60" t="s">
        <v>225</v>
      </c>
      <c r="D145" s="60"/>
      <c r="E145" s="60"/>
      <c r="F145" s="60"/>
      <c r="G145" s="61">
        <f>SUM(D145:F145)</f>
        <v>0</v>
      </c>
      <c r="H145" s="60"/>
      <c r="I145" s="60"/>
      <c r="J145" s="60"/>
      <c r="K145" s="61">
        <f>SUM(H145:J145)</f>
        <v>0</v>
      </c>
      <c r="L145" s="60"/>
      <c r="M145" s="60"/>
      <c r="N145" s="60"/>
      <c r="O145" s="61">
        <f>SUM(L145:N145)</f>
        <v>0</v>
      </c>
      <c r="P145" s="60"/>
      <c r="Q145" s="60"/>
      <c r="R145" s="60"/>
      <c r="S145" s="61">
        <f>SUM(P145:R145)</f>
        <v>0</v>
      </c>
      <c r="T145" s="60"/>
      <c r="U145" s="60"/>
      <c r="V145" s="60"/>
      <c r="W145" s="61">
        <f>SUM(T145:V145)</f>
        <v>0</v>
      </c>
      <c r="X145" s="60"/>
      <c r="Y145" s="60"/>
      <c r="Z145" s="60"/>
      <c r="AA145" s="61">
        <f>SUM(X145:Z145)</f>
        <v>0</v>
      </c>
      <c r="AB145" s="60"/>
      <c r="AC145" s="60"/>
      <c r="AD145" s="60"/>
      <c r="AE145" s="61">
        <f>SUM(AB145:AD145)</f>
        <v>0</v>
      </c>
      <c r="AF145" s="68">
        <f t="shared" si="32"/>
        <v>0</v>
      </c>
    </row>
    <row r="146" spans="1:32" hidden="1" x14ac:dyDescent="0.35">
      <c r="A146" s="111" t="s">
        <v>291</v>
      </c>
      <c r="B146" s="54"/>
      <c r="C146" s="63" t="s">
        <v>227</v>
      </c>
      <c r="D146" s="63"/>
      <c r="E146" s="63"/>
      <c r="F146" s="63"/>
      <c r="G146" s="61">
        <f>SUM(D146:F146)</f>
        <v>0</v>
      </c>
      <c r="H146" s="63"/>
      <c r="I146" s="63"/>
      <c r="J146" s="63"/>
      <c r="K146" s="61">
        <f>SUM(H146:J146)</f>
        <v>0</v>
      </c>
      <c r="L146" s="63"/>
      <c r="M146" s="63"/>
      <c r="N146" s="63"/>
      <c r="O146" s="61">
        <f>SUM(L146:N146)</f>
        <v>0</v>
      </c>
      <c r="P146" s="63"/>
      <c r="Q146" s="63"/>
      <c r="R146" s="63"/>
      <c r="S146" s="61">
        <f>SUM(P146:R146)</f>
        <v>0</v>
      </c>
      <c r="T146" s="63"/>
      <c r="U146" s="63"/>
      <c r="V146" s="63"/>
      <c r="W146" s="61">
        <f>SUM(T146:V146)</f>
        <v>0</v>
      </c>
      <c r="X146" s="63"/>
      <c r="Y146" s="63"/>
      <c r="Z146" s="63"/>
      <c r="AA146" s="61">
        <f>SUM(X146:Z146)</f>
        <v>0</v>
      </c>
      <c r="AB146" s="63"/>
      <c r="AC146" s="63"/>
      <c r="AD146" s="63"/>
      <c r="AE146" s="61">
        <f>SUM(AB146:AD146)</f>
        <v>0</v>
      </c>
      <c r="AF146" s="68">
        <f t="shared" si="32"/>
        <v>0</v>
      </c>
    </row>
    <row r="147" spans="1:32" hidden="1" x14ac:dyDescent="0.35">
      <c r="A147" s="111"/>
      <c r="B147" s="54"/>
      <c r="C147" s="60" t="s">
        <v>228</v>
      </c>
      <c r="D147" s="60"/>
      <c r="E147" s="60"/>
      <c r="F147" s="60"/>
      <c r="G147" s="61">
        <f>SUM(D147:F147)</f>
        <v>0</v>
      </c>
      <c r="H147" s="60"/>
      <c r="I147" s="60"/>
      <c r="J147" s="60"/>
      <c r="K147" s="61">
        <f>SUM(H147:J147)</f>
        <v>0</v>
      </c>
      <c r="L147" s="60"/>
      <c r="M147" s="60"/>
      <c r="N147" s="60"/>
      <c r="O147" s="61">
        <f>SUM(L147:N147)</f>
        <v>0</v>
      </c>
      <c r="P147" s="60"/>
      <c r="Q147" s="60"/>
      <c r="R147" s="60"/>
      <c r="S147" s="61">
        <f>SUM(P147:R147)</f>
        <v>0</v>
      </c>
      <c r="T147" s="60"/>
      <c r="U147" s="60"/>
      <c r="V147" s="60"/>
      <c r="W147" s="61">
        <f>SUM(T147:V147)</f>
        <v>0</v>
      </c>
      <c r="X147" s="60"/>
      <c r="Y147" s="60"/>
      <c r="Z147" s="60"/>
      <c r="AA147" s="61">
        <f>SUM(X147:Z147)</f>
        <v>0</v>
      </c>
      <c r="AB147" s="60"/>
      <c r="AC147" s="60"/>
      <c r="AD147" s="60"/>
      <c r="AE147" s="61">
        <f>SUM(AB147:AD147)</f>
        <v>0</v>
      </c>
      <c r="AF147" s="68">
        <f t="shared" si="32"/>
        <v>0</v>
      </c>
    </row>
    <row r="148" spans="1:32" hidden="1" x14ac:dyDescent="0.35">
      <c r="A148" s="111"/>
      <c r="B148" s="54"/>
      <c r="C148" s="63" t="s">
        <v>235</v>
      </c>
      <c r="D148" s="63"/>
      <c r="E148" s="63"/>
      <c r="F148" s="63"/>
      <c r="G148" s="61">
        <f>SUM(D148:F148)</f>
        <v>0</v>
      </c>
      <c r="H148" s="63"/>
      <c r="I148" s="63"/>
      <c r="J148" s="63"/>
      <c r="K148" s="61">
        <f>SUM(H148:J148)</f>
        <v>0</v>
      </c>
      <c r="L148" s="63"/>
      <c r="M148" s="63"/>
      <c r="N148" s="63"/>
      <c r="O148" s="61">
        <f>SUM(L148:N148)</f>
        <v>0</v>
      </c>
      <c r="P148" s="63"/>
      <c r="Q148" s="63"/>
      <c r="R148" s="63"/>
      <c r="S148" s="61">
        <f>SUM(P148:R148)</f>
        <v>0</v>
      </c>
      <c r="T148" s="63">
        <v>1</v>
      </c>
      <c r="U148" s="63"/>
      <c r="V148" s="63"/>
      <c r="W148" s="61">
        <f>SUM(T148:V148)</f>
        <v>1</v>
      </c>
      <c r="X148" s="63"/>
      <c r="Y148" s="63"/>
      <c r="Z148" s="63"/>
      <c r="AA148" s="61">
        <f>SUM(X148:Z148)</f>
        <v>0</v>
      </c>
      <c r="AB148" s="63"/>
      <c r="AC148" s="63"/>
      <c r="AD148" s="63"/>
      <c r="AE148" s="61">
        <f>SUM(AB148:AD148)</f>
        <v>0</v>
      </c>
      <c r="AF148" s="68">
        <f t="shared" si="32"/>
        <v>1</v>
      </c>
    </row>
    <row r="149" spans="1:32" x14ac:dyDescent="0.35">
      <c r="A149" s="66" t="s">
        <v>289</v>
      </c>
      <c r="B149" s="67" t="s">
        <v>290</v>
      </c>
      <c r="C149" s="66"/>
      <c r="D149" s="66">
        <f t="shared" ref="D149:AE149" si="36">SUM(D145:D148)</f>
        <v>0</v>
      </c>
      <c r="E149" s="66">
        <f t="shared" si="36"/>
        <v>0</v>
      </c>
      <c r="F149" s="66">
        <f t="shared" si="36"/>
        <v>0</v>
      </c>
      <c r="G149" s="61">
        <f t="shared" si="36"/>
        <v>0</v>
      </c>
      <c r="H149" s="66">
        <f t="shared" si="36"/>
        <v>0</v>
      </c>
      <c r="I149" s="66">
        <f t="shared" si="36"/>
        <v>0</v>
      </c>
      <c r="J149" s="66">
        <f t="shared" si="36"/>
        <v>0</v>
      </c>
      <c r="K149" s="61">
        <f t="shared" si="36"/>
        <v>0</v>
      </c>
      <c r="L149" s="66">
        <f t="shared" si="36"/>
        <v>0</v>
      </c>
      <c r="M149" s="66">
        <f t="shared" si="36"/>
        <v>0</v>
      </c>
      <c r="N149" s="66">
        <f t="shared" si="36"/>
        <v>0</v>
      </c>
      <c r="O149" s="61">
        <f t="shared" si="36"/>
        <v>0</v>
      </c>
      <c r="P149" s="66">
        <f t="shared" si="36"/>
        <v>0</v>
      </c>
      <c r="Q149" s="66">
        <f t="shared" si="36"/>
        <v>0</v>
      </c>
      <c r="R149" s="66">
        <f t="shared" si="36"/>
        <v>0</v>
      </c>
      <c r="S149" s="61">
        <f t="shared" si="36"/>
        <v>0</v>
      </c>
      <c r="T149" s="66">
        <f t="shared" si="36"/>
        <v>1</v>
      </c>
      <c r="U149" s="66">
        <f t="shared" si="36"/>
        <v>0</v>
      </c>
      <c r="V149" s="66">
        <f t="shared" si="36"/>
        <v>0</v>
      </c>
      <c r="W149" s="61">
        <f t="shared" si="36"/>
        <v>1</v>
      </c>
      <c r="X149" s="66">
        <f t="shared" si="36"/>
        <v>0</v>
      </c>
      <c r="Y149" s="66">
        <f t="shared" si="36"/>
        <v>0</v>
      </c>
      <c r="Z149" s="66">
        <f t="shared" si="36"/>
        <v>0</v>
      </c>
      <c r="AA149" s="61">
        <f t="shared" si="36"/>
        <v>0</v>
      </c>
      <c r="AB149" s="66">
        <f t="shared" si="36"/>
        <v>0</v>
      </c>
      <c r="AC149" s="66">
        <f t="shared" si="36"/>
        <v>0</v>
      </c>
      <c r="AD149" s="66">
        <f t="shared" si="36"/>
        <v>0</v>
      </c>
      <c r="AE149" s="61">
        <f t="shared" si="36"/>
        <v>0</v>
      </c>
      <c r="AF149" s="68">
        <f t="shared" si="32"/>
        <v>1</v>
      </c>
    </row>
    <row r="150" spans="1:32" hidden="1" x14ac:dyDescent="0.35">
      <c r="A150" s="59" t="s">
        <v>292</v>
      </c>
      <c r="B150" s="54" t="s">
        <v>293</v>
      </c>
      <c r="C150" s="60" t="s">
        <v>225</v>
      </c>
      <c r="D150" s="60"/>
      <c r="E150" s="60"/>
      <c r="F150" s="60"/>
      <c r="G150" s="61">
        <f>SUM(D150:F150)</f>
        <v>0</v>
      </c>
      <c r="H150" s="60"/>
      <c r="I150" s="60"/>
      <c r="J150" s="60"/>
      <c r="K150" s="61">
        <f>SUM(H150:J150)</f>
        <v>0</v>
      </c>
      <c r="L150" s="60"/>
      <c r="M150" s="60"/>
      <c r="N150" s="60"/>
      <c r="O150" s="61">
        <f>SUM(L150:N150)</f>
        <v>0</v>
      </c>
      <c r="P150" s="60"/>
      <c r="Q150" s="60"/>
      <c r="R150" s="60"/>
      <c r="S150" s="61">
        <f>SUM(P150:R150)</f>
        <v>0</v>
      </c>
      <c r="T150" s="60"/>
      <c r="U150" s="60"/>
      <c r="V150" s="60"/>
      <c r="W150" s="61">
        <f>SUM(T150:V150)</f>
        <v>0</v>
      </c>
      <c r="X150" s="60"/>
      <c r="Y150" s="60"/>
      <c r="Z150" s="60"/>
      <c r="AA150" s="61">
        <f>SUM(X150:Z150)</f>
        <v>0</v>
      </c>
      <c r="AB150" s="60"/>
      <c r="AC150" s="60"/>
      <c r="AD150" s="60"/>
      <c r="AE150" s="61">
        <f>SUM(AB150:AD150)</f>
        <v>0</v>
      </c>
      <c r="AF150" s="68">
        <f t="shared" si="32"/>
        <v>0</v>
      </c>
    </row>
    <row r="151" spans="1:32" hidden="1" x14ac:dyDescent="0.35">
      <c r="A151" s="111" t="s">
        <v>397</v>
      </c>
      <c r="B151" s="54"/>
      <c r="C151" s="63" t="s">
        <v>227</v>
      </c>
      <c r="D151" s="63"/>
      <c r="E151" s="63"/>
      <c r="F151" s="63"/>
      <c r="G151" s="61">
        <f>SUM(D151:F151)</f>
        <v>0</v>
      </c>
      <c r="H151" s="63"/>
      <c r="I151" s="63"/>
      <c r="J151" s="63"/>
      <c r="K151" s="61">
        <f>SUM(H151:J151)</f>
        <v>0</v>
      </c>
      <c r="L151" s="63"/>
      <c r="M151" s="63"/>
      <c r="N151" s="63"/>
      <c r="O151" s="61">
        <f>SUM(L151:N151)</f>
        <v>0</v>
      </c>
      <c r="P151" s="63"/>
      <c r="Q151" s="63"/>
      <c r="R151" s="63"/>
      <c r="S151" s="61">
        <f>SUM(P151:R151)</f>
        <v>0</v>
      </c>
      <c r="T151" s="63">
        <v>1</v>
      </c>
      <c r="U151" s="63"/>
      <c r="V151" s="63"/>
      <c r="W151" s="61">
        <f>SUM(T151:V151)</f>
        <v>1</v>
      </c>
      <c r="X151" s="63"/>
      <c r="Y151" s="63"/>
      <c r="Z151" s="63"/>
      <c r="AA151" s="61">
        <f>SUM(X151:Z151)</f>
        <v>0</v>
      </c>
      <c r="AB151" s="63"/>
      <c r="AC151" s="63"/>
      <c r="AD151" s="63"/>
      <c r="AE151" s="61">
        <f>SUM(AB151:AD151)</f>
        <v>0</v>
      </c>
      <c r="AF151" s="68">
        <f t="shared" si="32"/>
        <v>1</v>
      </c>
    </row>
    <row r="152" spans="1:32" hidden="1" x14ac:dyDescent="0.35">
      <c r="A152" s="111"/>
      <c r="B152" s="54"/>
      <c r="C152" s="60" t="s">
        <v>228</v>
      </c>
      <c r="D152" s="60"/>
      <c r="E152" s="60"/>
      <c r="F152" s="60"/>
      <c r="G152" s="61">
        <f>SUM(D152:F152)</f>
        <v>0</v>
      </c>
      <c r="H152" s="60"/>
      <c r="I152" s="60"/>
      <c r="J152" s="60"/>
      <c r="K152" s="61">
        <f>SUM(H152:J152)</f>
        <v>0</v>
      </c>
      <c r="L152" s="60"/>
      <c r="M152" s="60"/>
      <c r="N152" s="60"/>
      <c r="O152" s="61">
        <f>SUM(L152:N152)</f>
        <v>0</v>
      </c>
      <c r="P152" s="60"/>
      <c r="Q152" s="60"/>
      <c r="R152" s="60"/>
      <c r="S152" s="61">
        <f>SUM(P152:R152)</f>
        <v>0</v>
      </c>
      <c r="T152" s="60"/>
      <c r="U152" s="60"/>
      <c r="V152" s="60"/>
      <c r="W152" s="61">
        <f>SUM(T152:V152)</f>
        <v>0</v>
      </c>
      <c r="X152" s="60"/>
      <c r="Y152" s="60"/>
      <c r="Z152" s="60"/>
      <c r="AA152" s="61">
        <f>SUM(X152:Z152)</f>
        <v>0</v>
      </c>
      <c r="AB152" s="60"/>
      <c r="AC152" s="60"/>
      <c r="AD152" s="60"/>
      <c r="AE152" s="61">
        <f>SUM(AB152:AD152)</f>
        <v>0</v>
      </c>
      <c r="AF152" s="68">
        <f t="shared" si="32"/>
        <v>0</v>
      </c>
    </row>
    <row r="153" spans="1:32" hidden="1" x14ac:dyDescent="0.35">
      <c r="A153" s="111"/>
      <c r="B153" s="54"/>
      <c r="C153" s="63" t="s">
        <v>235</v>
      </c>
      <c r="D153" s="63"/>
      <c r="E153" s="63"/>
      <c r="F153" s="63"/>
      <c r="G153" s="61">
        <f>SUM(D153:F153)</f>
        <v>0</v>
      </c>
      <c r="H153" s="63"/>
      <c r="I153" s="63"/>
      <c r="J153" s="63"/>
      <c r="K153" s="61">
        <f>SUM(H153:J153)</f>
        <v>0</v>
      </c>
      <c r="L153" s="63"/>
      <c r="M153" s="63"/>
      <c r="N153" s="63"/>
      <c r="O153" s="61">
        <f>SUM(L153:N153)</f>
        <v>0</v>
      </c>
      <c r="P153" s="63"/>
      <c r="Q153" s="63"/>
      <c r="R153" s="63"/>
      <c r="S153" s="61">
        <f>SUM(P153:R153)</f>
        <v>0</v>
      </c>
      <c r="T153" s="63"/>
      <c r="U153" s="63"/>
      <c r="V153" s="63"/>
      <c r="W153" s="61">
        <f>SUM(T153:V153)</f>
        <v>0</v>
      </c>
      <c r="X153" s="63"/>
      <c r="Y153" s="63"/>
      <c r="Z153" s="63"/>
      <c r="AA153" s="61">
        <f>SUM(X153:Z153)</f>
        <v>0</v>
      </c>
      <c r="AB153" s="63"/>
      <c r="AC153" s="63"/>
      <c r="AD153" s="63"/>
      <c r="AE153" s="61">
        <f>SUM(AB153:AD153)</f>
        <v>0</v>
      </c>
      <c r="AF153" s="68">
        <f t="shared" si="32"/>
        <v>0</v>
      </c>
    </row>
    <row r="154" spans="1:32" x14ac:dyDescent="0.35">
      <c r="A154" s="66" t="s">
        <v>292</v>
      </c>
      <c r="B154" s="67" t="s">
        <v>293</v>
      </c>
      <c r="C154" s="66"/>
      <c r="D154" s="66">
        <f t="shared" ref="D154:AE154" si="37">SUM(D150:D153)</f>
        <v>0</v>
      </c>
      <c r="E154" s="66">
        <f t="shared" si="37"/>
        <v>0</v>
      </c>
      <c r="F154" s="66">
        <f t="shared" si="37"/>
        <v>0</v>
      </c>
      <c r="G154" s="61">
        <f t="shared" si="37"/>
        <v>0</v>
      </c>
      <c r="H154" s="66">
        <f t="shared" si="37"/>
        <v>0</v>
      </c>
      <c r="I154" s="66">
        <f t="shared" si="37"/>
        <v>0</v>
      </c>
      <c r="J154" s="66">
        <f t="shared" si="37"/>
        <v>0</v>
      </c>
      <c r="K154" s="61">
        <f t="shared" si="37"/>
        <v>0</v>
      </c>
      <c r="L154" s="66">
        <f t="shared" si="37"/>
        <v>0</v>
      </c>
      <c r="M154" s="66">
        <f t="shared" si="37"/>
        <v>0</v>
      </c>
      <c r="N154" s="66">
        <f t="shared" si="37"/>
        <v>0</v>
      </c>
      <c r="O154" s="61">
        <f t="shared" si="37"/>
        <v>0</v>
      </c>
      <c r="P154" s="66">
        <f t="shared" si="37"/>
        <v>0</v>
      </c>
      <c r="Q154" s="66">
        <f t="shared" si="37"/>
        <v>0</v>
      </c>
      <c r="R154" s="66">
        <f t="shared" si="37"/>
        <v>0</v>
      </c>
      <c r="S154" s="61">
        <f t="shared" si="37"/>
        <v>0</v>
      </c>
      <c r="T154" s="66">
        <f t="shared" si="37"/>
        <v>1</v>
      </c>
      <c r="U154" s="66">
        <f t="shared" si="37"/>
        <v>0</v>
      </c>
      <c r="V154" s="66">
        <f t="shared" si="37"/>
        <v>0</v>
      </c>
      <c r="W154" s="61">
        <f t="shared" si="37"/>
        <v>1</v>
      </c>
      <c r="X154" s="66">
        <f t="shared" si="37"/>
        <v>0</v>
      </c>
      <c r="Y154" s="66">
        <f t="shared" si="37"/>
        <v>0</v>
      </c>
      <c r="Z154" s="66">
        <f t="shared" si="37"/>
        <v>0</v>
      </c>
      <c r="AA154" s="61">
        <f t="shared" si="37"/>
        <v>0</v>
      </c>
      <c r="AB154" s="66">
        <f t="shared" si="37"/>
        <v>0</v>
      </c>
      <c r="AC154" s="66">
        <f t="shared" si="37"/>
        <v>0</v>
      </c>
      <c r="AD154" s="66">
        <f t="shared" si="37"/>
        <v>0</v>
      </c>
      <c r="AE154" s="61">
        <f t="shared" si="37"/>
        <v>0</v>
      </c>
      <c r="AF154" s="68">
        <f t="shared" si="32"/>
        <v>1</v>
      </c>
    </row>
    <row r="155" spans="1:32" hidden="1" x14ac:dyDescent="0.35">
      <c r="A155" s="59" t="s">
        <v>294</v>
      </c>
      <c r="B155" s="54">
        <v>30</v>
      </c>
      <c r="C155" s="60" t="s">
        <v>225</v>
      </c>
      <c r="D155" s="60"/>
      <c r="E155" s="60"/>
      <c r="F155" s="60"/>
      <c r="G155" s="61">
        <f>SUM(D155:F155)</f>
        <v>0</v>
      </c>
      <c r="H155" s="60"/>
      <c r="I155" s="60"/>
      <c r="J155" s="60"/>
      <c r="K155" s="61">
        <f>SUM(H155:J155)</f>
        <v>0</v>
      </c>
      <c r="L155" s="60"/>
      <c r="M155" s="60"/>
      <c r="N155" s="60"/>
      <c r="O155" s="61">
        <f>SUM(L155:N155)</f>
        <v>0</v>
      </c>
      <c r="P155" s="60"/>
      <c r="Q155" s="60"/>
      <c r="R155" s="60"/>
      <c r="S155" s="61">
        <f>SUM(P155:R155)</f>
        <v>0</v>
      </c>
      <c r="T155" s="60"/>
      <c r="U155" s="60"/>
      <c r="V155" s="60"/>
      <c r="W155" s="61">
        <f>SUM(T155:V155)</f>
        <v>0</v>
      </c>
      <c r="X155" s="60"/>
      <c r="Y155" s="60"/>
      <c r="Z155" s="60"/>
      <c r="AA155" s="61">
        <f>SUM(X155:Z155)</f>
        <v>0</v>
      </c>
      <c r="AB155" s="60"/>
      <c r="AC155" s="60"/>
      <c r="AD155" s="60"/>
      <c r="AE155" s="61">
        <f>SUM(AB155:AD155)</f>
        <v>0</v>
      </c>
      <c r="AF155" s="68">
        <f t="shared" si="32"/>
        <v>0</v>
      </c>
    </row>
    <row r="156" spans="1:32" hidden="1" x14ac:dyDescent="0.35">
      <c r="A156" s="111" t="s">
        <v>263</v>
      </c>
      <c r="B156" s="54"/>
      <c r="C156" s="63" t="s">
        <v>227</v>
      </c>
      <c r="D156" s="63"/>
      <c r="E156" s="63"/>
      <c r="F156" s="63"/>
      <c r="G156" s="61">
        <f>SUM(D156:F156)</f>
        <v>0</v>
      </c>
      <c r="H156" s="63"/>
      <c r="I156" s="63"/>
      <c r="J156" s="63"/>
      <c r="K156" s="61">
        <f>SUM(H156:J156)</f>
        <v>0</v>
      </c>
      <c r="L156" s="63"/>
      <c r="M156" s="63"/>
      <c r="N156" s="63"/>
      <c r="O156" s="61">
        <f>SUM(L156:N156)</f>
        <v>0</v>
      </c>
      <c r="P156" s="63"/>
      <c r="Q156" s="63"/>
      <c r="R156" s="63"/>
      <c r="S156" s="61">
        <f>SUM(P156:R156)</f>
        <v>0</v>
      </c>
      <c r="T156" s="63"/>
      <c r="U156" s="63"/>
      <c r="V156" s="63"/>
      <c r="W156" s="61">
        <f>SUM(T156:V156)</f>
        <v>0</v>
      </c>
      <c r="X156" s="63"/>
      <c r="Y156" s="63"/>
      <c r="Z156" s="63"/>
      <c r="AA156" s="61">
        <f>SUM(X156:Z156)</f>
        <v>0</v>
      </c>
      <c r="AB156" s="63"/>
      <c r="AC156" s="63"/>
      <c r="AD156" s="63"/>
      <c r="AE156" s="61">
        <f>SUM(AB156:AD156)</f>
        <v>0</v>
      </c>
      <c r="AF156" s="68">
        <f t="shared" si="32"/>
        <v>0</v>
      </c>
    </row>
    <row r="157" spans="1:32" hidden="1" x14ac:dyDescent="0.35">
      <c r="A157" s="111"/>
      <c r="B157" s="54"/>
      <c r="C157" s="60" t="s">
        <v>228</v>
      </c>
      <c r="D157" s="60"/>
      <c r="E157" s="60"/>
      <c r="F157" s="60"/>
      <c r="G157" s="61">
        <f>SUM(D157:F157)</f>
        <v>0</v>
      </c>
      <c r="H157" s="60"/>
      <c r="I157" s="60"/>
      <c r="J157" s="60"/>
      <c r="K157" s="61">
        <f>SUM(H157:J157)</f>
        <v>0</v>
      </c>
      <c r="L157" s="60"/>
      <c r="M157" s="60"/>
      <c r="N157" s="60"/>
      <c r="O157" s="61">
        <f>SUM(L157:N157)</f>
        <v>0</v>
      </c>
      <c r="P157" s="60"/>
      <c r="Q157" s="60"/>
      <c r="R157" s="60"/>
      <c r="S157" s="61">
        <f>SUM(P157:R157)</f>
        <v>0</v>
      </c>
      <c r="T157" s="60"/>
      <c r="U157" s="60"/>
      <c r="V157" s="60"/>
      <c r="W157" s="61">
        <f>SUM(T157:V157)</f>
        <v>0</v>
      </c>
      <c r="X157" s="60"/>
      <c r="Y157" s="60"/>
      <c r="Z157" s="60"/>
      <c r="AA157" s="61">
        <f>SUM(X157:Z157)</f>
        <v>0</v>
      </c>
      <c r="AB157" s="60"/>
      <c r="AC157" s="60"/>
      <c r="AD157" s="60"/>
      <c r="AE157" s="61">
        <f>SUM(AB157:AD157)</f>
        <v>0</v>
      </c>
      <c r="AF157" s="68">
        <f t="shared" si="32"/>
        <v>0</v>
      </c>
    </row>
    <row r="158" spans="1:32" hidden="1" x14ac:dyDescent="0.35">
      <c r="A158" s="111"/>
      <c r="B158" s="54"/>
      <c r="C158" s="63" t="s">
        <v>235</v>
      </c>
      <c r="D158" s="63"/>
      <c r="E158" s="63"/>
      <c r="F158" s="63"/>
      <c r="G158" s="61">
        <f>SUM(D158:F158)</f>
        <v>0</v>
      </c>
      <c r="H158" s="63"/>
      <c r="I158" s="63"/>
      <c r="J158" s="63"/>
      <c r="K158" s="61">
        <f>SUM(H158:J158)</f>
        <v>0</v>
      </c>
      <c r="L158" s="63"/>
      <c r="M158" s="63"/>
      <c r="N158" s="63"/>
      <c r="O158" s="61">
        <f>SUM(L158:N158)</f>
        <v>0</v>
      </c>
      <c r="P158" s="63"/>
      <c r="Q158" s="63"/>
      <c r="R158" s="63"/>
      <c r="S158" s="61">
        <f>SUM(P158:R158)</f>
        <v>0</v>
      </c>
      <c r="T158" s="63"/>
      <c r="U158" s="63"/>
      <c r="V158" s="63"/>
      <c r="W158" s="61">
        <f>SUM(T158:V158)</f>
        <v>0</v>
      </c>
      <c r="X158" s="63"/>
      <c r="Y158" s="63"/>
      <c r="Z158" s="63"/>
      <c r="AA158" s="61">
        <f>SUM(X158:Z158)</f>
        <v>0</v>
      </c>
      <c r="AB158" s="63"/>
      <c r="AC158" s="63"/>
      <c r="AD158" s="63"/>
      <c r="AE158" s="61">
        <f>SUM(AB158:AD158)</f>
        <v>0</v>
      </c>
      <c r="AF158" s="68">
        <f t="shared" si="32"/>
        <v>0</v>
      </c>
    </row>
    <row r="159" spans="1:32" x14ac:dyDescent="0.35">
      <c r="A159" s="66" t="s">
        <v>294</v>
      </c>
      <c r="B159" s="67">
        <v>30</v>
      </c>
      <c r="C159" s="66"/>
      <c r="D159" s="66">
        <f t="shared" ref="D159:AE159" si="38">SUM(D155:D158)</f>
        <v>0</v>
      </c>
      <c r="E159" s="66">
        <f t="shared" si="38"/>
        <v>0</v>
      </c>
      <c r="F159" s="66">
        <f t="shared" si="38"/>
        <v>0</v>
      </c>
      <c r="G159" s="61">
        <f t="shared" si="38"/>
        <v>0</v>
      </c>
      <c r="H159" s="66">
        <f t="shared" si="38"/>
        <v>0</v>
      </c>
      <c r="I159" s="66">
        <f t="shared" si="38"/>
        <v>0</v>
      </c>
      <c r="J159" s="66">
        <f t="shared" si="38"/>
        <v>0</v>
      </c>
      <c r="K159" s="61">
        <f t="shared" si="38"/>
        <v>0</v>
      </c>
      <c r="L159" s="66">
        <f t="shared" si="38"/>
        <v>0</v>
      </c>
      <c r="M159" s="66">
        <f t="shared" si="38"/>
        <v>0</v>
      </c>
      <c r="N159" s="66">
        <f t="shared" si="38"/>
        <v>0</v>
      </c>
      <c r="O159" s="61">
        <f t="shared" si="38"/>
        <v>0</v>
      </c>
      <c r="P159" s="66">
        <f t="shared" si="38"/>
        <v>0</v>
      </c>
      <c r="Q159" s="66">
        <f t="shared" si="38"/>
        <v>0</v>
      </c>
      <c r="R159" s="66">
        <f t="shared" si="38"/>
        <v>0</v>
      </c>
      <c r="S159" s="61">
        <f t="shared" si="38"/>
        <v>0</v>
      </c>
      <c r="T159" s="66">
        <f t="shared" si="38"/>
        <v>0</v>
      </c>
      <c r="U159" s="66">
        <f t="shared" si="38"/>
        <v>0</v>
      </c>
      <c r="V159" s="66">
        <f t="shared" si="38"/>
        <v>0</v>
      </c>
      <c r="W159" s="61">
        <f t="shared" si="38"/>
        <v>0</v>
      </c>
      <c r="X159" s="66">
        <f t="shared" si="38"/>
        <v>0</v>
      </c>
      <c r="Y159" s="66">
        <f t="shared" si="38"/>
        <v>0</v>
      </c>
      <c r="Z159" s="66">
        <f t="shared" si="38"/>
        <v>0</v>
      </c>
      <c r="AA159" s="61">
        <f t="shared" si="38"/>
        <v>0</v>
      </c>
      <c r="AB159" s="66">
        <f t="shared" si="38"/>
        <v>0</v>
      </c>
      <c r="AC159" s="66">
        <f t="shared" si="38"/>
        <v>0</v>
      </c>
      <c r="AD159" s="66">
        <f t="shared" si="38"/>
        <v>0</v>
      </c>
      <c r="AE159" s="61">
        <f t="shared" si="38"/>
        <v>0</v>
      </c>
      <c r="AF159" s="68">
        <f t="shared" si="32"/>
        <v>0</v>
      </c>
    </row>
    <row r="160" spans="1:32" hidden="1" x14ac:dyDescent="0.35">
      <c r="A160" s="59" t="s">
        <v>295</v>
      </c>
      <c r="B160" s="54">
        <v>8</v>
      </c>
      <c r="C160" s="60" t="s">
        <v>225</v>
      </c>
      <c r="D160" s="60"/>
      <c r="E160" s="60"/>
      <c r="F160" s="60"/>
      <c r="G160" s="61">
        <f>SUM(D160:F160)</f>
        <v>0</v>
      </c>
      <c r="H160" s="60"/>
      <c r="I160" s="60"/>
      <c r="J160" s="60"/>
      <c r="K160" s="61">
        <f>SUM(H160:J160)</f>
        <v>0</v>
      </c>
      <c r="L160" s="60"/>
      <c r="M160" s="60"/>
      <c r="N160" s="60"/>
      <c r="O160" s="61">
        <f>SUM(L160:N160)</f>
        <v>0</v>
      </c>
      <c r="P160" s="60"/>
      <c r="Q160" s="60"/>
      <c r="R160" s="60"/>
      <c r="S160" s="61">
        <f>SUM(P160:R160)</f>
        <v>0</v>
      </c>
      <c r="T160" s="60"/>
      <c r="U160" s="60"/>
      <c r="V160" s="60"/>
      <c r="W160" s="61">
        <f>SUM(T160:V160)</f>
        <v>0</v>
      </c>
      <c r="X160" s="60"/>
      <c r="Y160" s="60"/>
      <c r="Z160" s="60"/>
      <c r="AA160" s="61">
        <f>SUM(X160:Z160)</f>
        <v>0</v>
      </c>
      <c r="AB160" s="60"/>
      <c r="AC160" s="60"/>
      <c r="AD160" s="60"/>
      <c r="AE160" s="61">
        <f>SUM(AB160:AD160)</f>
        <v>0</v>
      </c>
      <c r="AF160" s="68">
        <f t="shared" si="32"/>
        <v>0</v>
      </c>
    </row>
    <row r="161" spans="1:32" hidden="1" x14ac:dyDescent="0.35">
      <c r="A161" s="111" t="s">
        <v>296</v>
      </c>
      <c r="B161" s="54"/>
      <c r="C161" s="63" t="s">
        <v>227</v>
      </c>
      <c r="D161" s="63"/>
      <c r="E161" s="63"/>
      <c r="F161" s="63"/>
      <c r="G161" s="61">
        <f>SUM(D161:F161)</f>
        <v>0</v>
      </c>
      <c r="H161" s="63"/>
      <c r="I161" s="63"/>
      <c r="J161" s="63"/>
      <c r="K161" s="61">
        <f>SUM(H161:J161)</f>
        <v>0</v>
      </c>
      <c r="L161" s="63"/>
      <c r="M161" s="63"/>
      <c r="N161" s="63"/>
      <c r="O161" s="61">
        <f>SUM(L161:N161)</f>
        <v>0</v>
      </c>
      <c r="P161" s="63"/>
      <c r="Q161" s="63"/>
      <c r="R161" s="63"/>
      <c r="S161" s="61">
        <f>SUM(P161:R161)</f>
        <v>0</v>
      </c>
      <c r="T161" s="63"/>
      <c r="U161" s="63"/>
      <c r="V161" s="63"/>
      <c r="W161" s="61">
        <f>SUM(T161:V161)</f>
        <v>0</v>
      </c>
      <c r="X161" s="63"/>
      <c r="Y161" s="63"/>
      <c r="Z161" s="63"/>
      <c r="AA161" s="61">
        <f>SUM(X161:Z161)</f>
        <v>0</v>
      </c>
      <c r="AB161" s="63"/>
      <c r="AC161" s="63"/>
      <c r="AD161" s="63"/>
      <c r="AE161" s="61">
        <f>SUM(AB161:AD161)</f>
        <v>0</v>
      </c>
      <c r="AF161" s="68">
        <f t="shared" si="32"/>
        <v>0</v>
      </c>
    </row>
    <row r="162" spans="1:32" hidden="1" x14ac:dyDescent="0.35">
      <c r="A162" s="111"/>
      <c r="B162" s="54"/>
      <c r="C162" s="60" t="s">
        <v>228</v>
      </c>
      <c r="D162" s="60"/>
      <c r="E162" s="60"/>
      <c r="F162" s="60"/>
      <c r="G162" s="61">
        <f>SUM(D162:F162)</f>
        <v>0</v>
      </c>
      <c r="H162" s="60"/>
      <c r="I162" s="60"/>
      <c r="J162" s="60"/>
      <c r="K162" s="61">
        <f>SUM(H162:J162)</f>
        <v>0</v>
      </c>
      <c r="L162" s="60"/>
      <c r="M162" s="60"/>
      <c r="N162" s="60"/>
      <c r="O162" s="61">
        <f>SUM(L162:N162)</f>
        <v>0</v>
      </c>
      <c r="P162" s="60"/>
      <c r="Q162" s="60"/>
      <c r="R162" s="60"/>
      <c r="S162" s="61">
        <f>SUM(P162:R162)</f>
        <v>0</v>
      </c>
      <c r="T162" s="60"/>
      <c r="U162" s="60"/>
      <c r="V162" s="60"/>
      <c r="W162" s="61">
        <f>SUM(T162:V162)</f>
        <v>0</v>
      </c>
      <c r="X162" s="60"/>
      <c r="Y162" s="60"/>
      <c r="Z162" s="60"/>
      <c r="AA162" s="61">
        <f>SUM(X162:Z162)</f>
        <v>0</v>
      </c>
      <c r="AB162" s="60"/>
      <c r="AC162" s="60"/>
      <c r="AD162" s="60"/>
      <c r="AE162" s="61">
        <f>SUM(AB162:AD162)</f>
        <v>0</v>
      </c>
      <c r="AF162" s="68">
        <f t="shared" si="32"/>
        <v>0</v>
      </c>
    </row>
    <row r="163" spans="1:32" hidden="1" x14ac:dyDescent="0.35">
      <c r="A163" s="111"/>
      <c r="B163" s="54"/>
      <c r="C163" s="63" t="s">
        <v>235</v>
      </c>
      <c r="D163" s="63"/>
      <c r="E163" s="63"/>
      <c r="F163" s="63"/>
      <c r="G163" s="61">
        <f>SUM(D163:F163)</f>
        <v>0</v>
      </c>
      <c r="H163" s="63"/>
      <c r="I163" s="63"/>
      <c r="J163" s="63"/>
      <c r="K163" s="61">
        <f>SUM(H163:J163)</f>
        <v>0</v>
      </c>
      <c r="L163" s="63"/>
      <c r="M163" s="63"/>
      <c r="N163" s="63"/>
      <c r="O163" s="61">
        <f>SUM(L163:N163)</f>
        <v>0</v>
      </c>
      <c r="P163" s="63"/>
      <c r="Q163" s="63"/>
      <c r="R163" s="63"/>
      <c r="S163" s="61">
        <f>SUM(P163:R163)</f>
        <v>0</v>
      </c>
      <c r="T163" s="63"/>
      <c r="U163" s="63"/>
      <c r="V163" s="63"/>
      <c r="W163" s="61">
        <f>SUM(T163:V163)</f>
        <v>0</v>
      </c>
      <c r="X163" s="63">
        <v>2</v>
      </c>
      <c r="Y163" s="63"/>
      <c r="Z163" s="63"/>
      <c r="AA163" s="61">
        <f>SUM(X163:Z163)</f>
        <v>2</v>
      </c>
      <c r="AB163" s="63"/>
      <c r="AC163" s="63"/>
      <c r="AD163" s="63"/>
      <c r="AE163" s="61">
        <f>SUM(AB163:AD163)</f>
        <v>0</v>
      </c>
      <c r="AF163" s="68">
        <f t="shared" si="32"/>
        <v>2</v>
      </c>
    </row>
    <row r="164" spans="1:32" x14ac:dyDescent="0.35">
      <c r="A164" s="66" t="s">
        <v>295</v>
      </c>
      <c r="B164" s="67">
        <v>8</v>
      </c>
      <c r="C164" s="66"/>
      <c r="D164" s="66">
        <f t="shared" ref="D164:AE164" si="39">SUM(D160:D163)</f>
        <v>0</v>
      </c>
      <c r="E164" s="66">
        <f t="shared" si="39"/>
        <v>0</v>
      </c>
      <c r="F164" s="66">
        <f t="shared" si="39"/>
        <v>0</v>
      </c>
      <c r="G164" s="61">
        <f t="shared" si="39"/>
        <v>0</v>
      </c>
      <c r="H164" s="66">
        <f t="shared" si="39"/>
        <v>0</v>
      </c>
      <c r="I164" s="66">
        <f t="shared" si="39"/>
        <v>0</v>
      </c>
      <c r="J164" s="66">
        <f t="shared" si="39"/>
        <v>0</v>
      </c>
      <c r="K164" s="61">
        <f t="shared" si="39"/>
        <v>0</v>
      </c>
      <c r="L164" s="66">
        <f t="shared" si="39"/>
        <v>0</v>
      </c>
      <c r="M164" s="66">
        <f t="shared" si="39"/>
        <v>0</v>
      </c>
      <c r="N164" s="66">
        <f t="shared" si="39"/>
        <v>0</v>
      </c>
      <c r="O164" s="61">
        <f t="shared" si="39"/>
        <v>0</v>
      </c>
      <c r="P164" s="66">
        <f t="shared" si="39"/>
        <v>0</v>
      </c>
      <c r="Q164" s="66">
        <f t="shared" si="39"/>
        <v>0</v>
      </c>
      <c r="R164" s="66">
        <f t="shared" si="39"/>
        <v>0</v>
      </c>
      <c r="S164" s="61">
        <f t="shared" si="39"/>
        <v>0</v>
      </c>
      <c r="T164" s="66">
        <f t="shared" si="39"/>
        <v>0</v>
      </c>
      <c r="U164" s="66">
        <f t="shared" si="39"/>
        <v>0</v>
      </c>
      <c r="V164" s="66">
        <f t="shared" si="39"/>
        <v>0</v>
      </c>
      <c r="W164" s="61">
        <f t="shared" si="39"/>
        <v>0</v>
      </c>
      <c r="X164" s="66">
        <f t="shared" si="39"/>
        <v>2</v>
      </c>
      <c r="Y164" s="66">
        <f t="shared" si="39"/>
        <v>0</v>
      </c>
      <c r="Z164" s="66">
        <f t="shared" si="39"/>
        <v>0</v>
      </c>
      <c r="AA164" s="61">
        <f t="shared" si="39"/>
        <v>2</v>
      </c>
      <c r="AB164" s="66">
        <f t="shared" si="39"/>
        <v>0</v>
      </c>
      <c r="AC164" s="66">
        <f t="shared" si="39"/>
        <v>0</v>
      </c>
      <c r="AD164" s="66">
        <f t="shared" si="39"/>
        <v>0</v>
      </c>
      <c r="AE164" s="61">
        <f t="shared" si="39"/>
        <v>0</v>
      </c>
      <c r="AF164" s="68">
        <f t="shared" si="32"/>
        <v>2</v>
      </c>
    </row>
    <row r="165" spans="1:32" hidden="1" x14ac:dyDescent="0.35">
      <c r="A165" s="59" t="s">
        <v>297</v>
      </c>
      <c r="B165" s="54">
        <v>18</v>
      </c>
      <c r="C165" s="60" t="s">
        <v>225</v>
      </c>
      <c r="D165" s="60"/>
      <c r="E165" s="60"/>
      <c r="F165" s="60"/>
      <c r="G165" s="61">
        <f>SUM(D165:F165)</f>
        <v>0</v>
      </c>
      <c r="H165" s="60"/>
      <c r="I165" s="60"/>
      <c r="J165" s="60"/>
      <c r="K165" s="61">
        <f>SUM(H165:J165)</f>
        <v>0</v>
      </c>
      <c r="L165" s="60"/>
      <c r="M165" s="60"/>
      <c r="N165" s="60"/>
      <c r="O165" s="61">
        <f>SUM(L165:N165)</f>
        <v>0</v>
      </c>
      <c r="P165" s="60"/>
      <c r="Q165" s="60"/>
      <c r="R165" s="60"/>
      <c r="S165" s="61">
        <f>SUM(P165:R165)</f>
        <v>0</v>
      </c>
      <c r="T165" s="60">
        <v>8</v>
      </c>
      <c r="U165" s="60">
        <v>2</v>
      </c>
      <c r="V165" s="60"/>
      <c r="W165" s="61">
        <f>SUM(T165:V165)</f>
        <v>10</v>
      </c>
      <c r="X165" s="60"/>
      <c r="Y165" s="60"/>
      <c r="Z165" s="60"/>
      <c r="AA165" s="61">
        <f>SUM(X165:Z165)</f>
        <v>0</v>
      </c>
      <c r="AB165" s="60"/>
      <c r="AC165" s="60"/>
      <c r="AD165" s="60"/>
      <c r="AE165" s="61">
        <f>SUM(AB165:AD165)</f>
        <v>0</v>
      </c>
      <c r="AF165" s="68">
        <f t="shared" si="32"/>
        <v>10</v>
      </c>
    </row>
    <row r="166" spans="1:32" hidden="1" x14ac:dyDescent="0.35">
      <c r="A166" s="111" t="s">
        <v>298</v>
      </c>
      <c r="B166" s="54"/>
      <c r="C166" s="63" t="s">
        <v>227</v>
      </c>
      <c r="D166" s="63"/>
      <c r="E166" s="63"/>
      <c r="F166" s="63"/>
      <c r="G166" s="61">
        <f>SUM(D166:F166)</f>
        <v>0</v>
      </c>
      <c r="H166" s="63"/>
      <c r="I166" s="63"/>
      <c r="J166" s="63"/>
      <c r="K166" s="61">
        <f>SUM(H166:J166)</f>
        <v>0</v>
      </c>
      <c r="L166" s="63"/>
      <c r="M166" s="63"/>
      <c r="N166" s="63"/>
      <c r="O166" s="61">
        <f>SUM(L166:N166)</f>
        <v>0</v>
      </c>
      <c r="P166" s="63"/>
      <c r="Q166" s="63"/>
      <c r="R166" s="63"/>
      <c r="S166" s="61">
        <f>SUM(P166:R166)</f>
        <v>0</v>
      </c>
      <c r="T166" s="63">
        <v>6</v>
      </c>
      <c r="U166" s="63">
        <v>1</v>
      </c>
      <c r="V166" s="63"/>
      <c r="W166" s="61">
        <f>SUM(T166:V166)</f>
        <v>7</v>
      </c>
      <c r="X166" s="63"/>
      <c r="Y166" s="63"/>
      <c r="Z166" s="63"/>
      <c r="AA166" s="61">
        <f>SUM(X166:Z166)</f>
        <v>0</v>
      </c>
      <c r="AB166" s="63"/>
      <c r="AC166" s="63"/>
      <c r="AD166" s="63"/>
      <c r="AE166" s="61">
        <f>SUM(AB166:AD166)</f>
        <v>0</v>
      </c>
      <c r="AF166" s="68">
        <f t="shared" si="32"/>
        <v>7</v>
      </c>
    </row>
    <row r="167" spans="1:32" hidden="1" x14ac:dyDescent="0.35">
      <c r="A167" s="111"/>
      <c r="B167" s="54"/>
      <c r="C167" s="60" t="s">
        <v>228</v>
      </c>
      <c r="D167" s="60"/>
      <c r="E167" s="60"/>
      <c r="F167" s="60"/>
      <c r="G167" s="61">
        <f>SUM(D167:F167)</f>
        <v>0</v>
      </c>
      <c r="H167" s="60"/>
      <c r="I167" s="60"/>
      <c r="J167" s="60"/>
      <c r="K167" s="61">
        <f>SUM(H167:J167)</f>
        <v>0</v>
      </c>
      <c r="L167" s="60"/>
      <c r="M167" s="60"/>
      <c r="N167" s="60"/>
      <c r="O167" s="61">
        <f>SUM(L167:N167)</f>
        <v>0</v>
      </c>
      <c r="P167" s="60"/>
      <c r="Q167" s="60"/>
      <c r="R167" s="60"/>
      <c r="S167" s="61">
        <f>SUM(P167:R167)</f>
        <v>0</v>
      </c>
      <c r="T167" s="60">
        <v>7</v>
      </c>
      <c r="U167" s="60"/>
      <c r="V167" s="60"/>
      <c r="W167" s="61">
        <f>SUM(T167:V167)</f>
        <v>7</v>
      </c>
      <c r="X167" s="60"/>
      <c r="Y167" s="60"/>
      <c r="Z167" s="60"/>
      <c r="AA167" s="61">
        <f>SUM(X167:Z167)</f>
        <v>0</v>
      </c>
      <c r="AB167" s="60"/>
      <c r="AC167" s="60"/>
      <c r="AD167" s="60"/>
      <c r="AE167" s="61">
        <f>SUM(AB167:AD167)</f>
        <v>0</v>
      </c>
      <c r="AF167" s="68">
        <f t="shared" si="32"/>
        <v>7</v>
      </c>
    </row>
    <row r="168" spans="1:32" hidden="1" x14ac:dyDescent="0.35">
      <c r="A168" s="111"/>
      <c r="B168" s="54"/>
      <c r="C168" s="63" t="s">
        <v>235</v>
      </c>
      <c r="D168" s="63"/>
      <c r="E168" s="63"/>
      <c r="F168" s="63"/>
      <c r="G168" s="61">
        <f>SUM(D168:F168)</f>
        <v>0</v>
      </c>
      <c r="H168" s="63"/>
      <c r="I168" s="63"/>
      <c r="J168" s="63"/>
      <c r="K168" s="61">
        <f>SUM(H168:J168)</f>
        <v>0</v>
      </c>
      <c r="L168" s="63"/>
      <c r="M168" s="63"/>
      <c r="N168" s="63"/>
      <c r="O168" s="61">
        <f>SUM(L168:N168)</f>
        <v>0</v>
      </c>
      <c r="P168" s="63"/>
      <c r="Q168" s="63"/>
      <c r="R168" s="63"/>
      <c r="S168" s="61">
        <f>SUM(P168:R168)</f>
        <v>0</v>
      </c>
      <c r="T168" s="63">
        <v>8</v>
      </c>
      <c r="U168" s="63"/>
      <c r="V168" s="63"/>
      <c r="W168" s="61">
        <f>SUM(T168:V168)</f>
        <v>8</v>
      </c>
      <c r="X168" s="63"/>
      <c r="Y168" s="63"/>
      <c r="Z168" s="63"/>
      <c r="AA168" s="61">
        <f>SUM(X168:Z168)</f>
        <v>0</v>
      </c>
      <c r="AB168" s="63"/>
      <c r="AC168" s="63"/>
      <c r="AD168" s="63"/>
      <c r="AE168" s="61">
        <f>SUM(AB168:AD168)</f>
        <v>0</v>
      </c>
      <c r="AF168" s="68">
        <f t="shared" si="32"/>
        <v>8</v>
      </c>
    </row>
    <row r="169" spans="1:32" x14ac:dyDescent="0.35">
      <c r="A169" s="66" t="s">
        <v>297</v>
      </c>
      <c r="B169" s="67">
        <v>18</v>
      </c>
      <c r="C169" s="66"/>
      <c r="D169" s="66">
        <f t="shared" ref="D169:AE169" si="40">SUM(D165:D168)</f>
        <v>0</v>
      </c>
      <c r="E169" s="66">
        <f t="shared" si="40"/>
        <v>0</v>
      </c>
      <c r="F169" s="66">
        <f t="shared" si="40"/>
        <v>0</v>
      </c>
      <c r="G169" s="61">
        <f t="shared" si="40"/>
        <v>0</v>
      </c>
      <c r="H169" s="66">
        <f t="shared" si="40"/>
        <v>0</v>
      </c>
      <c r="I169" s="66">
        <f t="shared" si="40"/>
        <v>0</v>
      </c>
      <c r="J169" s="66">
        <f t="shared" si="40"/>
        <v>0</v>
      </c>
      <c r="K169" s="61">
        <f t="shared" si="40"/>
        <v>0</v>
      </c>
      <c r="L169" s="66">
        <f t="shared" si="40"/>
        <v>0</v>
      </c>
      <c r="M169" s="66">
        <f t="shared" si="40"/>
        <v>0</v>
      </c>
      <c r="N169" s="66">
        <f t="shared" si="40"/>
        <v>0</v>
      </c>
      <c r="O169" s="61">
        <f t="shared" si="40"/>
        <v>0</v>
      </c>
      <c r="P169" s="66">
        <f t="shared" si="40"/>
        <v>0</v>
      </c>
      <c r="Q169" s="66">
        <f t="shared" si="40"/>
        <v>0</v>
      </c>
      <c r="R169" s="66">
        <f t="shared" si="40"/>
        <v>0</v>
      </c>
      <c r="S169" s="61">
        <f t="shared" si="40"/>
        <v>0</v>
      </c>
      <c r="T169" s="66">
        <f t="shared" si="40"/>
        <v>29</v>
      </c>
      <c r="U169" s="66">
        <f t="shared" si="40"/>
        <v>3</v>
      </c>
      <c r="V169" s="66">
        <f t="shared" si="40"/>
        <v>0</v>
      </c>
      <c r="W169" s="61">
        <f t="shared" si="40"/>
        <v>32</v>
      </c>
      <c r="X169" s="66">
        <f t="shared" si="40"/>
        <v>0</v>
      </c>
      <c r="Y169" s="66">
        <f t="shared" si="40"/>
        <v>0</v>
      </c>
      <c r="Z169" s="66">
        <f t="shared" si="40"/>
        <v>0</v>
      </c>
      <c r="AA169" s="61">
        <f t="shared" si="40"/>
        <v>0</v>
      </c>
      <c r="AB169" s="66">
        <f t="shared" si="40"/>
        <v>0</v>
      </c>
      <c r="AC169" s="66">
        <f t="shared" si="40"/>
        <v>0</v>
      </c>
      <c r="AD169" s="66">
        <f t="shared" si="40"/>
        <v>0</v>
      </c>
      <c r="AE169" s="61">
        <f t="shared" si="40"/>
        <v>0</v>
      </c>
      <c r="AF169" s="68">
        <f t="shared" si="32"/>
        <v>32</v>
      </c>
    </row>
    <row r="170" spans="1:32" hidden="1" x14ac:dyDescent="0.35">
      <c r="A170" s="59" t="s">
        <v>299</v>
      </c>
      <c r="B170" s="54">
        <v>11</v>
      </c>
      <c r="C170" s="60" t="s">
        <v>225</v>
      </c>
      <c r="D170" s="60"/>
      <c r="E170" s="60"/>
      <c r="F170" s="60"/>
      <c r="G170" s="61">
        <f>SUM(D170:F170)</f>
        <v>0</v>
      </c>
      <c r="H170" s="60"/>
      <c r="I170" s="60"/>
      <c r="J170" s="60"/>
      <c r="K170" s="61">
        <f>SUM(H170:J170)</f>
        <v>0</v>
      </c>
      <c r="L170" s="60"/>
      <c r="M170" s="60"/>
      <c r="N170" s="60"/>
      <c r="O170" s="61">
        <f>SUM(L170:N170)</f>
        <v>0</v>
      </c>
      <c r="P170" s="60"/>
      <c r="Q170" s="60"/>
      <c r="R170" s="60"/>
      <c r="S170" s="61">
        <f>SUM(P170:R170)</f>
        <v>0</v>
      </c>
      <c r="T170" s="60"/>
      <c r="U170" s="60"/>
      <c r="V170" s="60"/>
      <c r="W170" s="61">
        <f>SUM(T170:V170)</f>
        <v>0</v>
      </c>
      <c r="X170" s="60"/>
      <c r="Y170" s="60"/>
      <c r="Z170" s="60"/>
      <c r="AA170" s="61">
        <f>SUM(X170:Z170)</f>
        <v>0</v>
      </c>
      <c r="AB170" s="60"/>
      <c r="AC170" s="60"/>
      <c r="AD170" s="60"/>
      <c r="AE170" s="61">
        <f>SUM(AB170:AD170)</f>
        <v>0</v>
      </c>
      <c r="AF170" s="68">
        <f t="shared" si="32"/>
        <v>0</v>
      </c>
    </row>
    <row r="171" spans="1:32" hidden="1" x14ac:dyDescent="0.35">
      <c r="A171" s="111" t="s">
        <v>300</v>
      </c>
      <c r="B171" s="54"/>
      <c r="C171" s="63" t="s">
        <v>227</v>
      </c>
      <c r="D171" s="63"/>
      <c r="E171" s="63"/>
      <c r="F171" s="63"/>
      <c r="G171" s="61">
        <f>SUM(D171:F171)</f>
        <v>0</v>
      </c>
      <c r="H171" s="63"/>
      <c r="I171" s="63"/>
      <c r="J171" s="63"/>
      <c r="K171" s="61">
        <f>SUM(H171:J171)</f>
        <v>0</v>
      </c>
      <c r="L171" s="63"/>
      <c r="M171" s="63"/>
      <c r="N171" s="63"/>
      <c r="O171" s="61">
        <f>SUM(L171:N171)</f>
        <v>0</v>
      </c>
      <c r="P171" s="63"/>
      <c r="Q171" s="63"/>
      <c r="R171" s="63"/>
      <c r="S171" s="61">
        <f>SUM(P171:R171)</f>
        <v>0</v>
      </c>
      <c r="T171" s="63"/>
      <c r="U171" s="63"/>
      <c r="V171" s="63"/>
      <c r="W171" s="61">
        <f>SUM(T171:V171)</f>
        <v>0</v>
      </c>
      <c r="X171" s="63"/>
      <c r="Y171" s="63"/>
      <c r="Z171" s="63"/>
      <c r="AA171" s="61">
        <f>SUM(X171:Z171)</f>
        <v>0</v>
      </c>
      <c r="AB171" s="63"/>
      <c r="AC171" s="63"/>
      <c r="AD171" s="63"/>
      <c r="AE171" s="61">
        <f>SUM(AB171:AD171)</f>
        <v>0</v>
      </c>
      <c r="AF171" s="68">
        <f t="shared" si="32"/>
        <v>0</v>
      </c>
    </row>
    <row r="172" spans="1:32" hidden="1" x14ac:dyDescent="0.35">
      <c r="A172" s="111"/>
      <c r="B172" s="54"/>
      <c r="C172" s="60" t="s">
        <v>228</v>
      </c>
      <c r="D172" s="60"/>
      <c r="E172" s="60"/>
      <c r="F172" s="60"/>
      <c r="G172" s="61">
        <f>SUM(D172:F172)</f>
        <v>0</v>
      </c>
      <c r="H172" s="60"/>
      <c r="I172" s="60"/>
      <c r="J172" s="60"/>
      <c r="K172" s="61">
        <f>SUM(H172:J172)</f>
        <v>0</v>
      </c>
      <c r="L172" s="60"/>
      <c r="M172" s="60"/>
      <c r="N172" s="60"/>
      <c r="O172" s="61">
        <f>SUM(L172:N172)</f>
        <v>0</v>
      </c>
      <c r="P172" s="60"/>
      <c r="Q172" s="60"/>
      <c r="R172" s="60"/>
      <c r="S172" s="61">
        <f>SUM(P172:R172)</f>
        <v>0</v>
      </c>
      <c r="T172" s="60"/>
      <c r="U172" s="60"/>
      <c r="V172" s="60"/>
      <c r="W172" s="61">
        <f>SUM(T172:V172)</f>
        <v>0</v>
      </c>
      <c r="X172" s="60"/>
      <c r="Y172" s="60"/>
      <c r="Z172" s="60"/>
      <c r="AA172" s="61">
        <f>SUM(X172:Z172)</f>
        <v>0</v>
      </c>
      <c r="AB172" s="60"/>
      <c r="AC172" s="60"/>
      <c r="AD172" s="60"/>
      <c r="AE172" s="61">
        <f>SUM(AB172:AD172)</f>
        <v>0</v>
      </c>
      <c r="AF172" s="68">
        <f t="shared" si="32"/>
        <v>0</v>
      </c>
    </row>
    <row r="173" spans="1:32" hidden="1" x14ac:dyDescent="0.35">
      <c r="A173" s="111"/>
      <c r="B173" s="54"/>
      <c r="C173" s="63" t="s">
        <v>235</v>
      </c>
      <c r="D173" s="63"/>
      <c r="E173" s="63"/>
      <c r="F173" s="63"/>
      <c r="G173" s="61">
        <f>SUM(D173:F173)</f>
        <v>0</v>
      </c>
      <c r="H173" s="63"/>
      <c r="I173" s="63"/>
      <c r="J173" s="63"/>
      <c r="K173" s="61">
        <f>SUM(H173:J173)</f>
        <v>0</v>
      </c>
      <c r="L173" s="63"/>
      <c r="M173" s="63"/>
      <c r="N173" s="63"/>
      <c r="O173" s="61">
        <f>SUM(L173:N173)</f>
        <v>0</v>
      </c>
      <c r="P173" s="63"/>
      <c r="Q173" s="63"/>
      <c r="R173" s="63"/>
      <c r="S173" s="61">
        <f>SUM(P173:R173)</f>
        <v>0</v>
      </c>
      <c r="T173" s="63">
        <v>3</v>
      </c>
      <c r="U173" s="63"/>
      <c r="V173" s="63"/>
      <c r="W173" s="61">
        <f>SUM(T173:V173)</f>
        <v>3</v>
      </c>
      <c r="X173" s="63"/>
      <c r="Y173" s="63"/>
      <c r="Z173" s="63"/>
      <c r="AA173" s="61">
        <f>SUM(X173:Z173)</f>
        <v>0</v>
      </c>
      <c r="AB173" s="63"/>
      <c r="AC173" s="63"/>
      <c r="AD173" s="63"/>
      <c r="AE173" s="61">
        <f>SUM(AB173:AD173)</f>
        <v>0</v>
      </c>
      <c r="AF173" s="68">
        <f t="shared" si="32"/>
        <v>3</v>
      </c>
    </row>
    <row r="174" spans="1:32" x14ac:dyDescent="0.35">
      <c r="A174" s="66" t="s">
        <v>299</v>
      </c>
      <c r="B174" s="67">
        <v>11</v>
      </c>
      <c r="C174" s="66"/>
      <c r="D174" s="66">
        <f t="shared" ref="D174:AE174" si="41">SUM(D170:D173)</f>
        <v>0</v>
      </c>
      <c r="E174" s="66">
        <f t="shared" si="41"/>
        <v>0</v>
      </c>
      <c r="F174" s="66">
        <f t="shared" si="41"/>
        <v>0</v>
      </c>
      <c r="G174" s="61">
        <f t="shared" si="41"/>
        <v>0</v>
      </c>
      <c r="H174" s="66">
        <f t="shared" si="41"/>
        <v>0</v>
      </c>
      <c r="I174" s="66">
        <f t="shared" si="41"/>
        <v>0</v>
      </c>
      <c r="J174" s="66">
        <f t="shared" si="41"/>
        <v>0</v>
      </c>
      <c r="K174" s="61">
        <f t="shared" si="41"/>
        <v>0</v>
      </c>
      <c r="L174" s="66">
        <f t="shared" si="41"/>
        <v>0</v>
      </c>
      <c r="M174" s="66">
        <f t="shared" si="41"/>
        <v>0</v>
      </c>
      <c r="N174" s="66">
        <f t="shared" si="41"/>
        <v>0</v>
      </c>
      <c r="O174" s="61">
        <f t="shared" si="41"/>
        <v>0</v>
      </c>
      <c r="P174" s="66">
        <f t="shared" si="41"/>
        <v>0</v>
      </c>
      <c r="Q174" s="66">
        <f t="shared" si="41"/>
        <v>0</v>
      </c>
      <c r="R174" s="66">
        <f t="shared" si="41"/>
        <v>0</v>
      </c>
      <c r="S174" s="61">
        <f t="shared" si="41"/>
        <v>0</v>
      </c>
      <c r="T174" s="66">
        <f t="shared" si="41"/>
        <v>3</v>
      </c>
      <c r="U174" s="66">
        <f t="shared" si="41"/>
        <v>0</v>
      </c>
      <c r="V174" s="66">
        <f t="shared" si="41"/>
        <v>0</v>
      </c>
      <c r="W174" s="61">
        <f t="shared" si="41"/>
        <v>3</v>
      </c>
      <c r="X174" s="66">
        <f t="shared" si="41"/>
        <v>0</v>
      </c>
      <c r="Y174" s="66">
        <f t="shared" si="41"/>
        <v>0</v>
      </c>
      <c r="Z174" s="66">
        <f t="shared" si="41"/>
        <v>0</v>
      </c>
      <c r="AA174" s="61">
        <f t="shared" si="41"/>
        <v>0</v>
      </c>
      <c r="AB174" s="66">
        <f t="shared" si="41"/>
        <v>0</v>
      </c>
      <c r="AC174" s="66">
        <f t="shared" si="41"/>
        <v>0</v>
      </c>
      <c r="AD174" s="66">
        <f t="shared" si="41"/>
        <v>0</v>
      </c>
      <c r="AE174" s="61">
        <f t="shared" si="41"/>
        <v>0</v>
      </c>
      <c r="AF174" s="68">
        <f t="shared" si="32"/>
        <v>3</v>
      </c>
    </row>
    <row r="175" spans="1:32" hidden="1" x14ac:dyDescent="0.35">
      <c r="A175" s="59" t="s">
        <v>301</v>
      </c>
      <c r="B175" s="54">
        <v>30</v>
      </c>
      <c r="C175" s="60" t="s">
        <v>225</v>
      </c>
      <c r="D175" s="60"/>
      <c r="E175" s="60"/>
      <c r="F175" s="60"/>
      <c r="G175" s="61">
        <f>SUM(D175:F175)</f>
        <v>0</v>
      </c>
      <c r="H175" s="60"/>
      <c r="I175" s="60"/>
      <c r="J175" s="60"/>
      <c r="K175" s="61">
        <f>SUM(H175:J175)</f>
        <v>0</v>
      </c>
      <c r="L175" s="60"/>
      <c r="M175" s="60"/>
      <c r="N175" s="60"/>
      <c r="O175" s="61">
        <f>SUM(L175:N175)</f>
        <v>0</v>
      </c>
      <c r="P175" s="60"/>
      <c r="Q175" s="60"/>
      <c r="R175" s="60"/>
      <c r="S175" s="61">
        <f>SUM(P175:R175)</f>
        <v>0</v>
      </c>
      <c r="T175" s="60"/>
      <c r="U175" s="60"/>
      <c r="V175" s="60"/>
      <c r="W175" s="61">
        <f>SUM(T175:V175)</f>
        <v>0</v>
      </c>
      <c r="X175" s="60"/>
      <c r="Y175" s="60"/>
      <c r="Z175" s="60"/>
      <c r="AA175" s="61">
        <f>SUM(X175:Z175)</f>
        <v>0</v>
      </c>
      <c r="AB175" s="60"/>
      <c r="AC175" s="60"/>
      <c r="AD175" s="60"/>
      <c r="AE175" s="61">
        <f>SUM(AB175:AD175)</f>
        <v>0</v>
      </c>
      <c r="AF175" s="68">
        <f t="shared" si="32"/>
        <v>0</v>
      </c>
    </row>
    <row r="176" spans="1:32" hidden="1" x14ac:dyDescent="0.35">
      <c r="A176" s="111" t="s">
        <v>263</v>
      </c>
      <c r="B176" s="54"/>
      <c r="C176" s="63" t="s">
        <v>227</v>
      </c>
      <c r="D176" s="63"/>
      <c r="E176" s="63"/>
      <c r="F176" s="63"/>
      <c r="G176" s="61">
        <f>SUM(D176:F176)</f>
        <v>0</v>
      </c>
      <c r="H176" s="63"/>
      <c r="I176" s="63"/>
      <c r="J176" s="63"/>
      <c r="K176" s="61">
        <f>SUM(H176:J176)</f>
        <v>0</v>
      </c>
      <c r="L176" s="63"/>
      <c r="M176" s="63"/>
      <c r="N176" s="63"/>
      <c r="O176" s="61">
        <f>SUM(L176:N176)</f>
        <v>0</v>
      </c>
      <c r="P176" s="63"/>
      <c r="Q176" s="63"/>
      <c r="R176" s="63"/>
      <c r="S176" s="61">
        <f>SUM(P176:R176)</f>
        <v>0</v>
      </c>
      <c r="T176" s="63">
        <v>9</v>
      </c>
      <c r="U176" s="63">
        <v>1</v>
      </c>
      <c r="V176" s="63"/>
      <c r="W176" s="61">
        <f>SUM(T176:V176)</f>
        <v>10</v>
      </c>
      <c r="X176" s="63"/>
      <c r="Y176" s="63">
        <v>1</v>
      </c>
      <c r="Z176" s="63"/>
      <c r="AA176" s="61">
        <f>SUM(X176:Z176)</f>
        <v>1</v>
      </c>
      <c r="AB176" s="63"/>
      <c r="AC176" s="63"/>
      <c r="AD176" s="63"/>
      <c r="AE176" s="61">
        <f>SUM(AB176:AD176)</f>
        <v>0</v>
      </c>
      <c r="AF176" s="68">
        <f t="shared" si="32"/>
        <v>11</v>
      </c>
    </row>
    <row r="177" spans="1:32" hidden="1" x14ac:dyDescent="0.35">
      <c r="A177" s="111"/>
      <c r="B177" s="54"/>
      <c r="C177" s="60" t="s">
        <v>228</v>
      </c>
      <c r="D177" s="60"/>
      <c r="E177" s="60"/>
      <c r="F177" s="60"/>
      <c r="G177" s="61">
        <f>SUM(D177:F177)</f>
        <v>0</v>
      </c>
      <c r="H177" s="60"/>
      <c r="I177" s="60"/>
      <c r="J177" s="60"/>
      <c r="K177" s="61">
        <f>SUM(H177:J177)</f>
        <v>0</v>
      </c>
      <c r="L177" s="60"/>
      <c r="M177" s="60"/>
      <c r="N177" s="60"/>
      <c r="O177" s="61">
        <f>SUM(L177:N177)</f>
        <v>0</v>
      </c>
      <c r="P177" s="60"/>
      <c r="Q177" s="60"/>
      <c r="R177" s="60"/>
      <c r="S177" s="61">
        <f>SUM(P177:R177)</f>
        <v>0</v>
      </c>
      <c r="T177" s="60"/>
      <c r="U177" s="60"/>
      <c r="V177" s="60"/>
      <c r="W177" s="61">
        <f>SUM(T177:V177)</f>
        <v>0</v>
      </c>
      <c r="X177" s="60"/>
      <c r="Y177" s="60"/>
      <c r="Z177" s="60"/>
      <c r="AA177" s="61">
        <f>SUM(X177:Z177)</f>
        <v>0</v>
      </c>
      <c r="AB177" s="60">
        <v>3</v>
      </c>
      <c r="AC177" s="60">
        <v>1</v>
      </c>
      <c r="AD177" s="60"/>
      <c r="AE177" s="61">
        <f>SUM(AB177:AD177)</f>
        <v>4</v>
      </c>
      <c r="AF177" s="68">
        <f t="shared" si="32"/>
        <v>4</v>
      </c>
    </row>
    <row r="178" spans="1:32" hidden="1" x14ac:dyDescent="0.35">
      <c r="A178" s="111"/>
      <c r="B178" s="54"/>
      <c r="C178" s="63" t="s">
        <v>235</v>
      </c>
      <c r="D178" s="63"/>
      <c r="E178" s="63"/>
      <c r="F178" s="63"/>
      <c r="G178" s="61">
        <f>SUM(D178:F178)</f>
        <v>0</v>
      </c>
      <c r="H178" s="63"/>
      <c r="I178" s="63"/>
      <c r="J178" s="63"/>
      <c r="K178" s="61">
        <f>SUM(H178:J178)</f>
        <v>0</v>
      </c>
      <c r="L178" s="63"/>
      <c r="M178" s="63"/>
      <c r="N178" s="63"/>
      <c r="O178" s="61">
        <f>SUM(L178:N178)</f>
        <v>0</v>
      </c>
      <c r="P178" s="63"/>
      <c r="Q178" s="63"/>
      <c r="R178" s="63"/>
      <c r="S178" s="61">
        <f>SUM(P178:R178)</f>
        <v>0</v>
      </c>
      <c r="T178" s="63">
        <v>6</v>
      </c>
      <c r="U178" s="63"/>
      <c r="V178" s="63"/>
      <c r="W178" s="61">
        <f>SUM(T178:V178)</f>
        <v>6</v>
      </c>
      <c r="X178" s="63">
        <v>3</v>
      </c>
      <c r="Y178" s="63">
        <v>1</v>
      </c>
      <c r="Z178" s="63"/>
      <c r="AA178" s="61">
        <f>SUM(X178:Z178)</f>
        <v>4</v>
      </c>
      <c r="AB178" s="63"/>
      <c r="AC178" s="63"/>
      <c r="AD178" s="63"/>
      <c r="AE178" s="61">
        <f>SUM(AB178:AD178)</f>
        <v>0</v>
      </c>
      <c r="AF178" s="68">
        <f t="shared" si="32"/>
        <v>10</v>
      </c>
    </row>
    <row r="179" spans="1:32" x14ac:dyDescent="0.35">
      <c r="A179" s="66" t="s">
        <v>301</v>
      </c>
      <c r="B179" s="67">
        <v>30</v>
      </c>
      <c r="C179" s="66"/>
      <c r="D179" s="66">
        <f t="shared" ref="D179:AE179" si="42">SUM(D175:D178)</f>
        <v>0</v>
      </c>
      <c r="E179" s="66">
        <f t="shared" si="42"/>
        <v>0</v>
      </c>
      <c r="F179" s="66">
        <f t="shared" si="42"/>
        <v>0</v>
      </c>
      <c r="G179" s="61">
        <f t="shared" si="42"/>
        <v>0</v>
      </c>
      <c r="H179" s="66">
        <f t="shared" si="42"/>
        <v>0</v>
      </c>
      <c r="I179" s="66">
        <f t="shared" si="42"/>
        <v>0</v>
      </c>
      <c r="J179" s="66">
        <f t="shared" si="42"/>
        <v>0</v>
      </c>
      <c r="K179" s="61">
        <f t="shared" si="42"/>
        <v>0</v>
      </c>
      <c r="L179" s="66">
        <f t="shared" si="42"/>
        <v>0</v>
      </c>
      <c r="M179" s="66">
        <f t="shared" si="42"/>
        <v>0</v>
      </c>
      <c r="N179" s="66">
        <f t="shared" si="42"/>
        <v>0</v>
      </c>
      <c r="O179" s="61">
        <f t="shared" si="42"/>
        <v>0</v>
      </c>
      <c r="P179" s="66">
        <f t="shared" si="42"/>
        <v>0</v>
      </c>
      <c r="Q179" s="66">
        <f t="shared" si="42"/>
        <v>0</v>
      </c>
      <c r="R179" s="66">
        <f t="shared" si="42"/>
        <v>0</v>
      </c>
      <c r="S179" s="61">
        <f t="shared" si="42"/>
        <v>0</v>
      </c>
      <c r="T179" s="66">
        <f t="shared" si="42"/>
        <v>15</v>
      </c>
      <c r="U179" s="66">
        <f t="shared" si="42"/>
        <v>1</v>
      </c>
      <c r="V179" s="66">
        <f t="shared" si="42"/>
        <v>0</v>
      </c>
      <c r="W179" s="61">
        <f t="shared" si="42"/>
        <v>16</v>
      </c>
      <c r="X179" s="66">
        <f t="shared" si="42"/>
        <v>3</v>
      </c>
      <c r="Y179" s="66">
        <f t="shared" si="42"/>
        <v>2</v>
      </c>
      <c r="Z179" s="66">
        <f t="shared" si="42"/>
        <v>0</v>
      </c>
      <c r="AA179" s="61">
        <f t="shared" si="42"/>
        <v>5</v>
      </c>
      <c r="AB179" s="66">
        <f t="shared" si="42"/>
        <v>3</v>
      </c>
      <c r="AC179" s="66">
        <f t="shared" si="42"/>
        <v>1</v>
      </c>
      <c r="AD179" s="66">
        <f t="shared" si="42"/>
        <v>0</v>
      </c>
      <c r="AE179" s="61">
        <f t="shared" si="42"/>
        <v>4</v>
      </c>
      <c r="AF179" s="68">
        <f t="shared" si="32"/>
        <v>25</v>
      </c>
    </row>
    <row r="180" spans="1:32" hidden="1" x14ac:dyDescent="0.35">
      <c r="A180" s="59" t="s">
        <v>302</v>
      </c>
      <c r="B180" s="54" t="s">
        <v>303</v>
      </c>
      <c r="C180" s="60" t="s">
        <v>225</v>
      </c>
      <c r="D180" s="60"/>
      <c r="E180" s="60"/>
      <c r="F180" s="60"/>
      <c r="G180" s="61">
        <f>SUM(D180:F180)</f>
        <v>0</v>
      </c>
      <c r="H180" s="60"/>
      <c r="I180" s="60"/>
      <c r="J180" s="60"/>
      <c r="K180" s="61">
        <f>SUM(H180:J180)</f>
        <v>0</v>
      </c>
      <c r="L180" s="60"/>
      <c r="M180" s="60"/>
      <c r="N180" s="60"/>
      <c r="O180" s="61">
        <f>SUM(L180:N180)</f>
        <v>0</v>
      </c>
      <c r="P180" s="60"/>
      <c r="Q180" s="60"/>
      <c r="R180" s="60"/>
      <c r="S180" s="61">
        <f>SUM(P180:R180)</f>
        <v>0</v>
      </c>
      <c r="T180" s="60"/>
      <c r="U180" s="60"/>
      <c r="V180" s="60"/>
      <c r="W180" s="61">
        <f>SUM(T180:V180)</f>
        <v>0</v>
      </c>
      <c r="X180" s="60"/>
      <c r="Y180" s="60"/>
      <c r="Z180" s="60"/>
      <c r="AA180" s="61">
        <f>SUM(X180:Z180)</f>
        <v>0</v>
      </c>
      <c r="AB180" s="60"/>
      <c r="AC180" s="60"/>
      <c r="AD180" s="60"/>
      <c r="AE180" s="61">
        <f>SUM(AB180:AD180)</f>
        <v>0</v>
      </c>
      <c r="AF180" s="68">
        <f t="shared" si="32"/>
        <v>0</v>
      </c>
    </row>
    <row r="181" spans="1:32" hidden="1" x14ac:dyDescent="0.35">
      <c r="A181" s="111" t="s">
        <v>304</v>
      </c>
      <c r="B181" s="54"/>
      <c r="C181" s="63" t="s">
        <v>227</v>
      </c>
      <c r="D181" s="63"/>
      <c r="E181" s="63"/>
      <c r="F181" s="63"/>
      <c r="G181" s="61">
        <f>SUM(D181:F181)</f>
        <v>0</v>
      </c>
      <c r="H181" s="63"/>
      <c r="I181" s="63"/>
      <c r="J181" s="63"/>
      <c r="K181" s="61">
        <f>SUM(H181:J181)</f>
        <v>0</v>
      </c>
      <c r="L181" s="63"/>
      <c r="M181" s="63"/>
      <c r="N181" s="63"/>
      <c r="O181" s="61">
        <f>SUM(L181:N181)</f>
        <v>0</v>
      </c>
      <c r="P181" s="63"/>
      <c r="Q181" s="63"/>
      <c r="R181" s="63"/>
      <c r="S181" s="61">
        <f>SUM(P181:R181)</f>
        <v>0</v>
      </c>
      <c r="T181" s="63"/>
      <c r="U181" s="63"/>
      <c r="V181" s="63"/>
      <c r="W181" s="61">
        <f>SUM(T181:V181)</f>
        <v>0</v>
      </c>
      <c r="X181" s="63"/>
      <c r="Y181" s="63"/>
      <c r="Z181" s="63"/>
      <c r="AA181" s="61">
        <f>SUM(X181:Z181)</f>
        <v>0</v>
      </c>
      <c r="AB181" s="63"/>
      <c r="AC181" s="63"/>
      <c r="AD181" s="63"/>
      <c r="AE181" s="61">
        <f>SUM(AB181:AD181)</f>
        <v>0</v>
      </c>
      <c r="AF181" s="68">
        <f t="shared" si="32"/>
        <v>0</v>
      </c>
    </row>
    <row r="182" spans="1:32" hidden="1" x14ac:dyDescent="0.35">
      <c r="A182" s="111"/>
      <c r="B182" s="54"/>
      <c r="C182" s="60" t="s">
        <v>228</v>
      </c>
      <c r="D182" s="60"/>
      <c r="E182" s="60"/>
      <c r="F182" s="60"/>
      <c r="G182" s="61">
        <f>SUM(D182:F182)</f>
        <v>0</v>
      </c>
      <c r="H182" s="60"/>
      <c r="I182" s="60"/>
      <c r="J182" s="60"/>
      <c r="K182" s="61">
        <f>SUM(H182:J182)</f>
        <v>0</v>
      </c>
      <c r="L182" s="60"/>
      <c r="M182" s="60"/>
      <c r="N182" s="60"/>
      <c r="O182" s="61">
        <f>SUM(L182:N182)</f>
        <v>0</v>
      </c>
      <c r="P182" s="60"/>
      <c r="Q182" s="60"/>
      <c r="R182" s="60"/>
      <c r="S182" s="61">
        <f>SUM(P182:R182)</f>
        <v>0</v>
      </c>
      <c r="T182" s="60">
        <v>3</v>
      </c>
      <c r="U182" s="60"/>
      <c r="V182" s="60"/>
      <c r="W182" s="61">
        <f>SUM(T182:V182)</f>
        <v>3</v>
      </c>
      <c r="X182" s="60"/>
      <c r="Y182" s="60"/>
      <c r="Z182" s="60"/>
      <c r="AA182" s="61">
        <f>SUM(X182:Z182)</f>
        <v>0</v>
      </c>
      <c r="AB182" s="60"/>
      <c r="AC182" s="60"/>
      <c r="AD182" s="60"/>
      <c r="AE182" s="61">
        <f>SUM(AB182:AD182)</f>
        <v>0</v>
      </c>
      <c r="AF182" s="68">
        <f t="shared" si="32"/>
        <v>3</v>
      </c>
    </row>
    <row r="183" spans="1:32" hidden="1" x14ac:dyDescent="0.35">
      <c r="A183" s="111"/>
      <c r="B183" s="54"/>
      <c r="C183" s="63" t="s">
        <v>235</v>
      </c>
      <c r="D183" s="63"/>
      <c r="E183" s="63"/>
      <c r="F183" s="63"/>
      <c r="G183" s="61">
        <f>SUM(D183:F183)</f>
        <v>0</v>
      </c>
      <c r="H183" s="63"/>
      <c r="I183" s="63"/>
      <c r="J183" s="63"/>
      <c r="K183" s="61">
        <f>SUM(H183:J183)</f>
        <v>0</v>
      </c>
      <c r="L183" s="63"/>
      <c r="M183" s="63"/>
      <c r="N183" s="63"/>
      <c r="O183" s="61">
        <f>SUM(L183:N183)</f>
        <v>0</v>
      </c>
      <c r="P183" s="63"/>
      <c r="Q183" s="63"/>
      <c r="R183" s="63"/>
      <c r="S183" s="61">
        <f>SUM(P183:R183)</f>
        <v>0</v>
      </c>
      <c r="T183" s="63">
        <v>9</v>
      </c>
      <c r="U183" s="63"/>
      <c r="V183" s="63"/>
      <c r="W183" s="61">
        <f>SUM(T183:V183)</f>
        <v>9</v>
      </c>
      <c r="X183" s="63">
        <v>3</v>
      </c>
      <c r="Y183" s="63"/>
      <c r="Z183" s="63"/>
      <c r="AA183" s="61">
        <f>SUM(X183:Z183)</f>
        <v>3</v>
      </c>
      <c r="AB183" s="63"/>
      <c r="AC183" s="63"/>
      <c r="AD183" s="63"/>
      <c r="AE183" s="61">
        <f>SUM(AB183:AD183)</f>
        <v>0</v>
      </c>
      <c r="AF183" s="68">
        <f t="shared" si="32"/>
        <v>12</v>
      </c>
    </row>
    <row r="184" spans="1:32" x14ac:dyDescent="0.35">
      <c r="A184" s="66" t="s">
        <v>302</v>
      </c>
      <c r="B184" s="67" t="s">
        <v>303</v>
      </c>
      <c r="C184" s="66"/>
      <c r="D184" s="66">
        <f t="shared" ref="D184:AE184" si="43">SUM(D180:D183)</f>
        <v>0</v>
      </c>
      <c r="E184" s="66">
        <f t="shared" si="43"/>
        <v>0</v>
      </c>
      <c r="F184" s="66">
        <f t="shared" si="43"/>
        <v>0</v>
      </c>
      <c r="G184" s="61">
        <f t="shared" si="43"/>
        <v>0</v>
      </c>
      <c r="H184" s="66">
        <f t="shared" si="43"/>
        <v>0</v>
      </c>
      <c r="I184" s="66">
        <f t="shared" si="43"/>
        <v>0</v>
      </c>
      <c r="J184" s="66">
        <f t="shared" si="43"/>
        <v>0</v>
      </c>
      <c r="K184" s="61">
        <f t="shared" si="43"/>
        <v>0</v>
      </c>
      <c r="L184" s="66">
        <f t="shared" si="43"/>
        <v>0</v>
      </c>
      <c r="M184" s="66">
        <f t="shared" si="43"/>
        <v>0</v>
      </c>
      <c r="N184" s="66">
        <f t="shared" si="43"/>
        <v>0</v>
      </c>
      <c r="O184" s="61">
        <f t="shared" si="43"/>
        <v>0</v>
      </c>
      <c r="P184" s="66">
        <f t="shared" si="43"/>
        <v>0</v>
      </c>
      <c r="Q184" s="66">
        <f t="shared" si="43"/>
        <v>0</v>
      </c>
      <c r="R184" s="66">
        <f t="shared" si="43"/>
        <v>0</v>
      </c>
      <c r="S184" s="61">
        <f t="shared" si="43"/>
        <v>0</v>
      </c>
      <c r="T184" s="66">
        <f t="shared" si="43"/>
        <v>12</v>
      </c>
      <c r="U184" s="66">
        <f t="shared" si="43"/>
        <v>0</v>
      </c>
      <c r="V184" s="66">
        <f t="shared" si="43"/>
        <v>0</v>
      </c>
      <c r="W184" s="61">
        <f t="shared" si="43"/>
        <v>12</v>
      </c>
      <c r="X184" s="66">
        <f t="shared" si="43"/>
        <v>3</v>
      </c>
      <c r="Y184" s="66">
        <f t="shared" si="43"/>
        <v>0</v>
      </c>
      <c r="Z184" s="66">
        <f t="shared" si="43"/>
        <v>0</v>
      </c>
      <c r="AA184" s="61">
        <f t="shared" si="43"/>
        <v>3</v>
      </c>
      <c r="AB184" s="66">
        <f t="shared" si="43"/>
        <v>0</v>
      </c>
      <c r="AC184" s="66">
        <f t="shared" si="43"/>
        <v>0</v>
      </c>
      <c r="AD184" s="66">
        <f t="shared" si="43"/>
        <v>0</v>
      </c>
      <c r="AE184" s="61">
        <f t="shared" si="43"/>
        <v>0</v>
      </c>
      <c r="AF184" s="68">
        <f t="shared" si="32"/>
        <v>15</v>
      </c>
    </row>
    <row r="185" spans="1:32" hidden="1" x14ac:dyDescent="0.35">
      <c r="A185" s="59" t="s">
        <v>305</v>
      </c>
      <c r="B185" s="54" t="s">
        <v>233</v>
      </c>
      <c r="C185" s="60" t="s">
        <v>225</v>
      </c>
      <c r="D185" s="60"/>
      <c r="E185" s="60"/>
      <c r="F185" s="60"/>
      <c r="G185" s="61">
        <f>SUM(D185:F185)</f>
        <v>0</v>
      </c>
      <c r="H185" s="60"/>
      <c r="I185" s="60"/>
      <c r="J185" s="60"/>
      <c r="K185" s="61">
        <f>SUM(H185:J185)</f>
        <v>0</v>
      </c>
      <c r="L185" s="60"/>
      <c r="M185" s="60"/>
      <c r="N185" s="60"/>
      <c r="O185" s="61">
        <f>SUM(L185:N185)</f>
        <v>0</v>
      </c>
      <c r="P185" s="60"/>
      <c r="Q185" s="60"/>
      <c r="R185" s="60"/>
      <c r="S185" s="61">
        <f>SUM(P185:R185)</f>
        <v>0</v>
      </c>
      <c r="T185" s="60"/>
      <c r="U185" s="60"/>
      <c r="V185" s="60"/>
      <c r="W185" s="61">
        <f>SUM(T185:V185)</f>
        <v>0</v>
      </c>
      <c r="X185" s="60"/>
      <c r="Y185" s="60"/>
      <c r="Z185" s="60"/>
      <c r="AA185" s="61">
        <f>SUM(X185:Z185)</f>
        <v>0</v>
      </c>
      <c r="AB185" s="60"/>
      <c r="AC185" s="60"/>
      <c r="AD185" s="60"/>
      <c r="AE185" s="61">
        <f>SUM(AB185:AD185)</f>
        <v>0</v>
      </c>
      <c r="AF185" s="68">
        <f t="shared" si="32"/>
        <v>0</v>
      </c>
    </row>
    <row r="186" spans="1:32" hidden="1" x14ac:dyDescent="0.35">
      <c r="A186" s="111" t="s">
        <v>234</v>
      </c>
      <c r="B186" s="54"/>
      <c r="C186" s="63" t="s">
        <v>227</v>
      </c>
      <c r="D186" s="63"/>
      <c r="E186" s="63"/>
      <c r="F186" s="63"/>
      <c r="G186" s="61">
        <f>SUM(D186:F186)</f>
        <v>0</v>
      </c>
      <c r="H186" s="63"/>
      <c r="I186" s="63"/>
      <c r="J186" s="63"/>
      <c r="K186" s="61">
        <f>SUM(H186:J186)</f>
        <v>0</v>
      </c>
      <c r="L186" s="63"/>
      <c r="M186" s="63"/>
      <c r="N186" s="63"/>
      <c r="O186" s="61">
        <f>SUM(L186:N186)</f>
        <v>0</v>
      </c>
      <c r="P186" s="63"/>
      <c r="Q186" s="63"/>
      <c r="R186" s="63"/>
      <c r="S186" s="61">
        <f>SUM(P186:R186)</f>
        <v>0</v>
      </c>
      <c r="T186" s="63"/>
      <c r="U186" s="63"/>
      <c r="V186" s="63"/>
      <c r="W186" s="61">
        <f>SUM(T186:V186)</f>
        <v>0</v>
      </c>
      <c r="X186" s="63"/>
      <c r="Y186" s="63"/>
      <c r="Z186" s="63"/>
      <c r="AA186" s="61">
        <f>SUM(X186:Z186)</f>
        <v>0</v>
      </c>
      <c r="AB186" s="63"/>
      <c r="AC186" s="63"/>
      <c r="AD186" s="63"/>
      <c r="AE186" s="61">
        <f>SUM(AB186:AD186)</f>
        <v>0</v>
      </c>
      <c r="AF186" s="68">
        <f t="shared" si="32"/>
        <v>0</v>
      </c>
    </row>
    <row r="187" spans="1:32" hidden="1" x14ac:dyDescent="0.35">
      <c r="A187" s="111"/>
      <c r="B187" s="54"/>
      <c r="C187" s="60" t="s">
        <v>228</v>
      </c>
      <c r="D187" s="60"/>
      <c r="E187" s="60"/>
      <c r="F187" s="60"/>
      <c r="G187" s="61">
        <f>SUM(D187:F187)</f>
        <v>0</v>
      </c>
      <c r="H187" s="60"/>
      <c r="I187" s="60"/>
      <c r="J187" s="60"/>
      <c r="K187" s="61">
        <f>SUM(H187:J187)</f>
        <v>0</v>
      </c>
      <c r="L187" s="60"/>
      <c r="M187" s="60"/>
      <c r="N187" s="60"/>
      <c r="O187" s="61">
        <f>SUM(L187:N187)</f>
        <v>0</v>
      </c>
      <c r="P187" s="60"/>
      <c r="Q187" s="60"/>
      <c r="R187" s="60"/>
      <c r="S187" s="61">
        <f>SUM(P187:R187)</f>
        <v>0</v>
      </c>
      <c r="T187" s="60"/>
      <c r="U187" s="60"/>
      <c r="V187" s="60"/>
      <c r="W187" s="61">
        <f>SUM(T187:V187)</f>
        <v>0</v>
      </c>
      <c r="X187" s="60"/>
      <c r="Y187" s="60"/>
      <c r="Z187" s="60"/>
      <c r="AA187" s="61">
        <f>SUM(X187:Z187)</f>
        <v>0</v>
      </c>
      <c r="AB187" s="60"/>
      <c r="AC187" s="60"/>
      <c r="AD187" s="60"/>
      <c r="AE187" s="61">
        <f>SUM(AB187:AD187)</f>
        <v>0</v>
      </c>
      <c r="AF187" s="68">
        <f t="shared" si="32"/>
        <v>0</v>
      </c>
    </row>
    <row r="188" spans="1:32" hidden="1" x14ac:dyDescent="0.35">
      <c r="A188" s="111"/>
      <c r="B188" s="54"/>
      <c r="C188" s="63" t="s">
        <v>235</v>
      </c>
      <c r="D188" s="63"/>
      <c r="E188" s="63"/>
      <c r="F188" s="63"/>
      <c r="G188" s="61">
        <f>SUM(D188:F188)</f>
        <v>0</v>
      </c>
      <c r="H188" s="63"/>
      <c r="I188" s="63"/>
      <c r="J188" s="63"/>
      <c r="K188" s="61">
        <f>SUM(H188:J188)</f>
        <v>0</v>
      </c>
      <c r="L188" s="63"/>
      <c r="M188" s="63"/>
      <c r="N188" s="63"/>
      <c r="O188" s="61">
        <f>SUM(L188:N188)</f>
        <v>0</v>
      </c>
      <c r="P188" s="63"/>
      <c r="Q188" s="63"/>
      <c r="R188" s="63"/>
      <c r="S188" s="61">
        <f>SUM(P188:R188)</f>
        <v>0</v>
      </c>
      <c r="T188" s="63"/>
      <c r="U188" s="63"/>
      <c r="V188" s="63"/>
      <c r="W188" s="61">
        <f>SUM(T188:V188)</f>
        <v>0</v>
      </c>
      <c r="X188" s="63"/>
      <c r="Y188" s="63"/>
      <c r="Z188" s="63"/>
      <c r="AA188" s="61">
        <f>SUM(X188:Z188)</f>
        <v>0</v>
      </c>
      <c r="AB188" s="63"/>
      <c r="AC188" s="63"/>
      <c r="AD188" s="63"/>
      <c r="AE188" s="61">
        <f>SUM(AB188:AD188)</f>
        <v>0</v>
      </c>
      <c r="AF188" s="68">
        <f t="shared" si="32"/>
        <v>0</v>
      </c>
    </row>
    <row r="189" spans="1:32" x14ac:dyDescent="0.35">
      <c r="A189" s="66" t="s">
        <v>305</v>
      </c>
      <c r="B189" s="67" t="s">
        <v>233</v>
      </c>
      <c r="C189" s="66"/>
      <c r="D189" s="66">
        <f t="shared" ref="D189:AE189" si="44">SUM(D185:D188)</f>
        <v>0</v>
      </c>
      <c r="E189" s="66">
        <f t="shared" si="44"/>
        <v>0</v>
      </c>
      <c r="F189" s="66">
        <f t="shared" si="44"/>
        <v>0</v>
      </c>
      <c r="G189" s="61">
        <f t="shared" si="44"/>
        <v>0</v>
      </c>
      <c r="H189" s="66">
        <f t="shared" si="44"/>
        <v>0</v>
      </c>
      <c r="I189" s="66">
        <f t="shared" si="44"/>
        <v>0</v>
      </c>
      <c r="J189" s="66">
        <f t="shared" si="44"/>
        <v>0</v>
      </c>
      <c r="K189" s="61">
        <f t="shared" si="44"/>
        <v>0</v>
      </c>
      <c r="L189" s="66">
        <f t="shared" si="44"/>
        <v>0</v>
      </c>
      <c r="M189" s="66">
        <f t="shared" si="44"/>
        <v>0</v>
      </c>
      <c r="N189" s="66">
        <f t="shared" si="44"/>
        <v>0</v>
      </c>
      <c r="O189" s="61">
        <f t="shared" si="44"/>
        <v>0</v>
      </c>
      <c r="P189" s="66">
        <f t="shared" si="44"/>
        <v>0</v>
      </c>
      <c r="Q189" s="66">
        <f t="shared" si="44"/>
        <v>0</v>
      </c>
      <c r="R189" s="66">
        <f t="shared" si="44"/>
        <v>0</v>
      </c>
      <c r="S189" s="61">
        <f t="shared" si="44"/>
        <v>0</v>
      </c>
      <c r="T189" s="66">
        <f t="shared" si="44"/>
        <v>0</v>
      </c>
      <c r="U189" s="66">
        <f t="shared" si="44"/>
        <v>0</v>
      </c>
      <c r="V189" s="66">
        <f t="shared" si="44"/>
        <v>0</v>
      </c>
      <c r="W189" s="61">
        <f t="shared" si="44"/>
        <v>0</v>
      </c>
      <c r="X189" s="66">
        <f t="shared" si="44"/>
        <v>0</v>
      </c>
      <c r="Y189" s="66">
        <f t="shared" si="44"/>
        <v>0</v>
      </c>
      <c r="Z189" s="66">
        <f t="shared" si="44"/>
        <v>0</v>
      </c>
      <c r="AA189" s="61">
        <f t="shared" si="44"/>
        <v>0</v>
      </c>
      <c r="AB189" s="66">
        <f t="shared" si="44"/>
        <v>0</v>
      </c>
      <c r="AC189" s="66">
        <f t="shared" si="44"/>
        <v>0</v>
      </c>
      <c r="AD189" s="66">
        <f t="shared" si="44"/>
        <v>0</v>
      </c>
      <c r="AE189" s="61">
        <f t="shared" si="44"/>
        <v>0</v>
      </c>
      <c r="AF189" s="68">
        <f t="shared" si="32"/>
        <v>0</v>
      </c>
    </row>
    <row r="190" spans="1:32" hidden="1" x14ac:dyDescent="0.35">
      <c r="A190" s="59" t="s">
        <v>306</v>
      </c>
      <c r="B190" s="54" t="s">
        <v>307</v>
      </c>
      <c r="C190" s="60" t="s">
        <v>225</v>
      </c>
      <c r="D190" s="60"/>
      <c r="E190" s="60"/>
      <c r="F190" s="60"/>
      <c r="G190" s="61">
        <f>SUM(D190:F190)</f>
        <v>0</v>
      </c>
      <c r="H190" s="60"/>
      <c r="I190" s="60"/>
      <c r="J190" s="60"/>
      <c r="K190" s="61">
        <f>SUM(H190:J190)</f>
        <v>0</v>
      </c>
      <c r="L190" s="60"/>
      <c r="M190" s="60"/>
      <c r="N190" s="60"/>
      <c r="O190" s="61">
        <f>SUM(L190:N190)</f>
        <v>0</v>
      </c>
      <c r="P190" s="60"/>
      <c r="Q190" s="60"/>
      <c r="R190" s="60"/>
      <c r="S190" s="61">
        <f>SUM(P190:R190)</f>
        <v>0</v>
      </c>
      <c r="T190" s="60"/>
      <c r="U190" s="60"/>
      <c r="V190" s="60"/>
      <c r="W190" s="61">
        <f>SUM(T190:V190)</f>
        <v>0</v>
      </c>
      <c r="X190" s="60"/>
      <c r="Y190" s="60"/>
      <c r="Z190" s="60"/>
      <c r="AA190" s="61">
        <f>SUM(X190:Z190)</f>
        <v>0</v>
      </c>
      <c r="AB190" s="60"/>
      <c r="AC190" s="60"/>
      <c r="AD190" s="60"/>
      <c r="AE190" s="61">
        <f>SUM(AB190:AD190)</f>
        <v>0</v>
      </c>
      <c r="AF190" s="68">
        <f t="shared" si="32"/>
        <v>0</v>
      </c>
    </row>
    <row r="191" spans="1:32" hidden="1" x14ac:dyDescent="0.35">
      <c r="A191" s="111" t="s">
        <v>245</v>
      </c>
      <c r="B191" s="54"/>
      <c r="C191" s="63" t="s">
        <v>227</v>
      </c>
      <c r="D191" s="63"/>
      <c r="E191" s="63"/>
      <c r="F191" s="63"/>
      <c r="G191" s="61">
        <f>SUM(D191:F191)</f>
        <v>0</v>
      </c>
      <c r="H191" s="63"/>
      <c r="I191" s="63"/>
      <c r="J191" s="63"/>
      <c r="K191" s="61">
        <f>SUM(H191:J191)</f>
        <v>0</v>
      </c>
      <c r="L191" s="63"/>
      <c r="M191" s="63"/>
      <c r="N191" s="63"/>
      <c r="O191" s="61">
        <f>SUM(L191:N191)</f>
        <v>0</v>
      </c>
      <c r="P191" s="63"/>
      <c r="Q191" s="63"/>
      <c r="R191" s="63"/>
      <c r="S191" s="61">
        <f>SUM(P191:R191)</f>
        <v>0</v>
      </c>
      <c r="T191" s="63"/>
      <c r="U191" s="63"/>
      <c r="V191" s="63"/>
      <c r="W191" s="61">
        <f>SUM(T191:V191)</f>
        <v>0</v>
      </c>
      <c r="X191" s="63"/>
      <c r="Y191" s="63"/>
      <c r="Z191" s="63"/>
      <c r="AA191" s="61">
        <f>SUM(X191:Z191)</f>
        <v>0</v>
      </c>
      <c r="AB191" s="63"/>
      <c r="AC191" s="63"/>
      <c r="AD191" s="63"/>
      <c r="AE191" s="61">
        <f>SUM(AB191:AD191)</f>
        <v>0</v>
      </c>
      <c r="AF191" s="68">
        <f t="shared" si="32"/>
        <v>0</v>
      </c>
    </row>
    <row r="192" spans="1:32" hidden="1" x14ac:dyDescent="0.35">
      <c r="A192" s="111"/>
      <c r="B192" s="54"/>
      <c r="C192" s="60" t="s">
        <v>228</v>
      </c>
      <c r="D192" s="60"/>
      <c r="E192" s="60"/>
      <c r="F192" s="60"/>
      <c r="G192" s="61">
        <f>SUM(D192:F192)</f>
        <v>0</v>
      </c>
      <c r="H192" s="60"/>
      <c r="I192" s="60"/>
      <c r="J192" s="60"/>
      <c r="K192" s="61">
        <f>SUM(H192:J192)</f>
        <v>0</v>
      </c>
      <c r="L192" s="60"/>
      <c r="M192" s="60"/>
      <c r="N192" s="60"/>
      <c r="O192" s="61">
        <f>SUM(L192:N192)</f>
        <v>0</v>
      </c>
      <c r="P192" s="60"/>
      <c r="Q192" s="60"/>
      <c r="R192" s="60"/>
      <c r="S192" s="61">
        <f>SUM(P192:R192)</f>
        <v>0</v>
      </c>
      <c r="T192" s="60"/>
      <c r="U192" s="60"/>
      <c r="V192" s="60"/>
      <c r="W192" s="61">
        <f>SUM(T192:V192)</f>
        <v>0</v>
      </c>
      <c r="X192" s="60"/>
      <c r="Y192" s="60"/>
      <c r="Z192" s="60"/>
      <c r="AA192" s="61">
        <f>SUM(X192:Z192)</f>
        <v>0</v>
      </c>
      <c r="AB192" s="60"/>
      <c r="AC192" s="60"/>
      <c r="AD192" s="60"/>
      <c r="AE192" s="61">
        <f>SUM(AB192:AD192)</f>
        <v>0</v>
      </c>
      <c r="AF192" s="68">
        <f t="shared" si="32"/>
        <v>0</v>
      </c>
    </row>
    <row r="193" spans="1:32" hidden="1" x14ac:dyDescent="0.35">
      <c r="A193" s="111"/>
      <c r="B193" s="54"/>
      <c r="C193" s="63" t="s">
        <v>235</v>
      </c>
      <c r="D193" s="63"/>
      <c r="E193" s="63"/>
      <c r="F193" s="63"/>
      <c r="G193" s="61">
        <f>SUM(D193:F193)</f>
        <v>0</v>
      </c>
      <c r="H193" s="63"/>
      <c r="I193" s="63"/>
      <c r="J193" s="63"/>
      <c r="K193" s="61">
        <f>SUM(H193:J193)</f>
        <v>0</v>
      </c>
      <c r="L193" s="63"/>
      <c r="M193" s="63"/>
      <c r="N193" s="63"/>
      <c r="O193" s="61">
        <f>SUM(L193:N193)</f>
        <v>0</v>
      </c>
      <c r="P193" s="63"/>
      <c r="Q193" s="63"/>
      <c r="R193" s="63"/>
      <c r="S193" s="61">
        <f>SUM(P193:R193)</f>
        <v>0</v>
      </c>
      <c r="T193" s="63"/>
      <c r="U193" s="63"/>
      <c r="V193" s="63"/>
      <c r="W193" s="61">
        <f>SUM(T193:V193)</f>
        <v>0</v>
      </c>
      <c r="X193" s="63"/>
      <c r="Y193" s="63"/>
      <c r="Z193" s="63"/>
      <c r="AA193" s="61">
        <f>SUM(X193:Z193)</f>
        <v>0</v>
      </c>
      <c r="AB193" s="63"/>
      <c r="AC193" s="63"/>
      <c r="AD193" s="63"/>
      <c r="AE193" s="61">
        <f>SUM(AB193:AD193)</f>
        <v>0</v>
      </c>
      <c r="AF193" s="68">
        <f t="shared" si="32"/>
        <v>0</v>
      </c>
    </row>
    <row r="194" spans="1:32" hidden="1" x14ac:dyDescent="0.35">
      <c r="A194" s="66" t="s">
        <v>306</v>
      </c>
      <c r="B194" s="67" t="s">
        <v>307</v>
      </c>
      <c r="C194" s="66"/>
      <c r="D194" s="66">
        <f t="shared" ref="D194:AE194" si="45">SUM(D190:D193)</f>
        <v>0</v>
      </c>
      <c r="E194" s="66">
        <f t="shared" si="45"/>
        <v>0</v>
      </c>
      <c r="F194" s="66">
        <f t="shared" si="45"/>
        <v>0</v>
      </c>
      <c r="G194" s="61">
        <f t="shared" si="45"/>
        <v>0</v>
      </c>
      <c r="H194" s="66">
        <f t="shared" si="45"/>
        <v>0</v>
      </c>
      <c r="I194" s="66">
        <f t="shared" si="45"/>
        <v>0</v>
      </c>
      <c r="J194" s="66">
        <f t="shared" si="45"/>
        <v>0</v>
      </c>
      <c r="K194" s="61">
        <f t="shared" si="45"/>
        <v>0</v>
      </c>
      <c r="L194" s="66">
        <f t="shared" si="45"/>
        <v>0</v>
      </c>
      <c r="M194" s="66">
        <f t="shared" si="45"/>
        <v>0</v>
      </c>
      <c r="N194" s="66">
        <f t="shared" si="45"/>
        <v>0</v>
      </c>
      <c r="O194" s="61">
        <f t="shared" si="45"/>
        <v>0</v>
      </c>
      <c r="P194" s="66">
        <f t="shared" si="45"/>
        <v>0</v>
      </c>
      <c r="Q194" s="66">
        <f t="shared" si="45"/>
        <v>0</v>
      </c>
      <c r="R194" s="66">
        <f t="shared" si="45"/>
        <v>0</v>
      </c>
      <c r="S194" s="61">
        <f t="shared" si="45"/>
        <v>0</v>
      </c>
      <c r="T194" s="66">
        <f t="shared" si="45"/>
        <v>0</v>
      </c>
      <c r="U194" s="66">
        <f t="shared" si="45"/>
        <v>0</v>
      </c>
      <c r="V194" s="66">
        <f t="shared" si="45"/>
        <v>0</v>
      </c>
      <c r="W194" s="61">
        <f t="shared" si="45"/>
        <v>0</v>
      </c>
      <c r="X194" s="66">
        <f t="shared" si="45"/>
        <v>0</v>
      </c>
      <c r="Y194" s="66">
        <f t="shared" si="45"/>
        <v>0</v>
      </c>
      <c r="Z194" s="66">
        <f t="shared" si="45"/>
        <v>0</v>
      </c>
      <c r="AA194" s="61">
        <f t="shared" si="45"/>
        <v>0</v>
      </c>
      <c r="AB194" s="66">
        <f t="shared" si="45"/>
        <v>0</v>
      </c>
      <c r="AC194" s="66">
        <f t="shared" si="45"/>
        <v>0</v>
      </c>
      <c r="AD194" s="66">
        <f t="shared" si="45"/>
        <v>0</v>
      </c>
      <c r="AE194" s="61">
        <f t="shared" si="45"/>
        <v>0</v>
      </c>
      <c r="AF194" s="68">
        <f t="shared" si="32"/>
        <v>0</v>
      </c>
    </row>
    <row r="195" spans="1:32" hidden="1" x14ac:dyDescent="0.35">
      <c r="A195" s="111" t="s">
        <v>397</v>
      </c>
      <c r="B195" s="54"/>
      <c r="C195" s="60" t="s">
        <v>225</v>
      </c>
      <c r="D195" s="60"/>
      <c r="E195" s="60"/>
      <c r="F195" s="60"/>
      <c r="G195" s="61">
        <f>SUM(D195:F195)</f>
        <v>0</v>
      </c>
      <c r="H195" s="60"/>
      <c r="I195" s="60"/>
      <c r="J195" s="60"/>
      <c r="K195" s="61">
        <f>SUM(H195:J195)</f>
        <v>0</v>
      </c>
      <c r="L195" s="60"/>
      <c r="M195" s="60"/>
      <c r="N195" s="60"/>
      <c r="O195" s="61">
        <f>SUM(L195:N195)</f>
        <v>0</v>
      </c>
      <c r="P195" s="60"/>
      <c r="Q195" s="60"/>
      <c r="R195" s="60"/>
      <c r="S195" s="61">
        <f>SUM(P195:R195)</f>
        <v>0</v>
      </c>
      <c r="T195" s="60"/>
      <c r="U195" s="60"/>
      <c r="V195" s="60"/>
      <c r="W195" s="61">
        <f>SUM(T195:V195)</f>
        <v>0</v>
      </c>
      <c r="X195" s="60"/>
      <c r="Y195" s="60"/>
      <c r="Z195" s="60"/>
      <c r="AA195" s="61">
        <f>SUM(X195:Z195)</f>
        <v>0</v>
      </c>
      <c r="AB195" s="60"/>
      <c r="AC195" s="60"/>
      <c r="AD195" s="60"/>
      <c r="AE195" s="61">
        <f>SUM(AB195:AD195)</f>
        <v>0</v>
      </c>
      <c r="AF195" s="68">
        <f t="shared" si="32"/>
        <v>0</v>
      </c>
    </row>
    <row r="196" spans="1:32" hidden="1" x14ac:dyDescent="0.35">
      <c r="A196" s="111"/>
      <c r="B196" s="54"/>
      <c r="C196" s="63" t="s">
        <v>227</v>
      </c>
      <c r="D196" s="63"/>
      <c r="E196" s="63"/>
      <c r="F196" s="63"/>
      <c r="G196" s="61">
        <f>SUM(D196:F196)</f>
        <v>0</v>
      </c>
      <c r="H196" s="63"/>
      <c r="I196" s="63"/>
      <c r="J196" s="63"/>
      <c r="K196" s="61">
        <f>SUM(H196:J196)</f>
        <v>0</v>
      </c>
      <c r="L196" s="63"/>
      <c r="M196" s="63"/>
      <c r="N196" s="63"/>
      <c r="O196" s="61">
        <f>SUM(L196:N196)</f>
        <v>0</v>
      </c>
      <c r="P196" s="63"/>
      <c r="Q196" s="63"/>
      <c r="R196" s="63"/>
      <c r="S196" s="61">
        <f>SUM(P196:R196)</f>
        <v>0</v>
      </c>
      <c r="T196" s="63"/>
      <c r="U196" s="63"/>
      <c r="V196" s="63"/>
      <c r="W196" s="61">
        <f>SUM(T196:V196)</f>
        <v>0</v>
      </c>
      <c r="X196" s="63"/>
      <c r="Y196" s="63"/>
      <c r="Z196" s="63"/>
      <c r="AA196" s="61">
        <f>SUM(X196:Z196)</f>
        <v>0</v>
      </c>
      <c r="AB196" s="63"/>
      <c r="AC196" s="63"/>
      <c r="AD196" s="63"/>
      <c r="AE196" s="61">
        <f>SUM(AB196:AD196)</f>
        <v>0</v>
      </c>
      <c r="AF196" s="68">
        <f t="shared" si="32"/>
        <v>0</v>
      </c>
    </row>
    <row r="197" spans="1:32" hidden="1" x14ac:dyDescent="0.35">
      <c r="A197" s="111"/>
      <c r="B197" s="54"/>
      <c r="C197" s="60" t="s">
        <v>228</v>
      </c>
      <c r="D197" s="60"/>
      <c r="E197" s="60"/>
      <c r="F197" s="60"/>
      <c r="G197" s="61">
        <f>SUM(D197:F197)</f>
        <v>0</v>
      </c>
      <c r="H197" s="60"/>
      <c r="I197" s="60"/>
      <c r="J197" s="60"/>
      <c r="K197" s="61">
        <f>SUM(H197:J197)</f>
        <v>0</v>
      </c>
      <c r="L197" s="60"/>
      <c r="M197" s="60"/>
      <c r="N197" s="60"/>
      <c r="O197" s="61">
        <f>SUM(L197:N197)</f>
        <v>0</v>
      </c>
      <c r="P197" s="60"/>
      <c r="Q197" s="60"/>
      <c r="R197" s="60"/>
      <c r="S197" s="61">
        <f>SUM(P197:R197)</f>
        <v>0</v>
      </c>
      <c r="T197" s="60"/>
      <c r="U197" s="60"/>
      <c r="V197" s="60"/>
      <c r="W197" s="61">
        <f>SUM(T197:V197)</f>
        <v>0</v>
      </c>
      <c r="X197" s="60"/>
      <c r="Y197" s="60"/>
      <c r="Z197" s="60"/>
      <c r="AA197" s="61">
        <f>SUM(X197:Z197)</f>
        <v>0</v>
      </c>
      <c r="AB197" s="60"/>
      <c r="AC197" s="60"/>
      <c r="AD197" s="60"/>
      <c r="AE197" s="61">
        <f>SUM(AB197:AD197)</f>
        <v>0</v>
      </c>
      <c r="AF197" s="68">
        <f t="shared" ref="AF197:AF260" si="46">SUM(G197,K197,O197,S197,W197,AA197,AE197)</f>
        <v>0</v>
      </c>
    </row>
    <row r="198" spans="1:32" hidden="1" x14ac:dyDescent="0.35">
      <c r="A198" s="111"/>
      <c r="B198" s="54"/>
      <c r="C198" s="63" t="s">
        <v>235</v>
      </c>
      <c r="D198" s="63"/>
      <c r="E198" s="63"/>
      <c r="F198" s="63"/>
      <c r="G198" s="61">
        <f>SUM(D198:F198)</f>
        <v>0</v>
      </c>
      <c r="H198" s="63"/>
      <c r="I198" s="63"/>
      <c r="J198" s="63"/>
      <c r="K198" s="61">
        <f>SUM(H198:J198)</f>
        <v>0</v>
      </c>
      <c r="L198" s="63"/>
      <c r="M198" s="63"/>
      <c r="N198" s="63"/>
      <c r="O198" s="61">
        <f>SUM(L198:N198)</f>
        <v>0</v>
      </c>
      <c r="P198" s="63"/>
      <c r="Q198" s="63"/>
      <c r="R198" s="63"/>
      <c r="S198" s="61">
        <f>SUM(P198:R198)</f>
        <v>0</v>
      </c>
      <c r="T198" s="63"/>
      <c r="U198" s="63"/>
      <c r="V198" s="63"/>
      <c r="W198" s="61">
        <f>SUM(T198:V198)</f>
        <v>0</v>
      </c>
      <c r="X198" s="63"/>
      <c r="Y198" s="63"/>
      <c r="Z198" s="63"/>
      <c r="AA198" s="61">
        <f>SUM(X198:Z198)</f>
        <v>0</v>
      </c>
      <c r="AB198" s="63"/>
      <c r="AC198" s="63"/>
      <c r="AD198" s="63"/>
      <c r="AE198" s="61">
        <f>SUM(AB198:AD198)</f>
        <v>0</v>
      </c>
      <c r="AF198" s="68">
        <f t="shared" si="46"/>
        <v>0</v>
      </c>
    </row>
    <row r="199" spans="1:32" hidden="1" x14ac:dyDescent="0.35">
      <c r="A199" s="76" t="s">
        <v>397</v>
      </c>
      <c r="B199" s="67" t="s">
        <v>307</v>
      </c>
      <c r="C199" s="66"/>
      <c r="D199" s="66">
        <f t="shared" ref="D199:AE199" si="47">SUM(D195:D198)</f>
        <v>0</v>
      </c>
      <c r="E199" s="66">
        <f t="shared" si="47"/>
        <v>0</v>
      </c>
      <c r="F199" s="66">
        <f t="shared" si="47"/>
        <v>0</v>
      </c>
      <c r="G199" s="61">
        <f t="shared" si="47"/>
        <v>0</v>
      </c>
      <c r="H199" s="66">
        <f t="shared" si="47"/>
        <v>0</v>
      </c>
      <c r="I199" s="66">
        <f t="shared" si="47"/>
        <v>0</v>
      </c>
      <c r="J199" s="66">
        <f t="shared" si="47"/>
        <v>0</v>
      </c>
      <c r="K199" s="61">
        <f t="shared" si="47"/>
        <v>0</v>
      </c>
      <c r="L199" s="66">
        <f t="shared" si="47"/>
        <v>0</v>
      </c>
      <c r="M199" s="66">
        <f t="shared" si="47"/>
        <v>0</v>
      </c>
      <c r="N199" s="66">
        <f t="shared" si="47"/>
        <v>0</v>
      </c>
      <c r="O199" s="61">
        <f t="shared" si="47"/>
        <v>0</v>
      </c>
      <c r="P199" s="66">
        <f t="shared" si="47"/>
        <v>0</v>
      </c>
      <c r="Q199" s="66">
        <f t="shared" si="47"/>
        <v>0</v>
      </c>
      <c r="R199" s="66">
        <f t="shared" si="47"/>
        <v>0</v>
      </c>
      <c r="S199" s="61">
        <f t="shared" si="47"/>
        <v>0</v>
      </c>
      <c r="T199" s="66">
        <f t="shared" si="47"/>
        <v>0</v>
      </c>
      <c r="U199" s="66">
        <f t="shared" si="47"/>
        <v>0</v>
      </c>
      <c r="V199" s="66">
        <f t="shared" si="47"/>
        <v>0</v>
      </c>
      <c r="W199" s="61">
        <f t="shared" si="47"/>
        <v>0</v>
      </c>
      <c r="X199" s="66">
        <f t="shared" si="47"/>
        <v>0</v>
      </c>
      <c r="Y199" s="66">
        <f t="shared" si="47"/>
        <v>0</v>
      </c>
      <c r="Z199" s="66">
        <f t="shared" si="47"/>
        <v>0</v>
      </c>
      <c r="AA199" s="61">
        <f t="shared" si="47"/>
        <v>0</v>
      </c>
      <c r="AB199" s="66">
        <f t="shared" si="47"/>
        <v>0</v>
      </c>
      <c r="AC199" s="66">
        <f t="shared" si="47"/>
        <v>0</v>
      </c>
      <c r="AD199" s="66">
        <f t="shared" si="47"/>
        <v>0</v>
      </c>
      <c r="AE199" s="61">
        <f t="shared" si="47"/>
        <v>0</v>
      </c>
      <c r="AF199" s="68">
        <f t="shared" si="46"/>
        <v>0</v>
      </c>
    </row>
    <row r="200" spans="1:32" hidden="1" x14ac:dyDescent="0.35">
      <c r="A200" s="111" t="s">
        <v>409</v>
      </c>
      <c r="B200" s="54"/>
      <c r="C200" s="60" t="s">
        <v>225</v>
      </c>
      <c r="D200" s="60"/>
      <c r="E200" s="60"/>
      <c r="F200" s="60"/>
      <c r="G200" s="61">
        <f>SUM(D200:F200)</f>
        <v>0</v>
      </c>
      <c r="H200" s="60"/>
      <c r="I200" s="60"/>
      <c r="J200" s="60"/>
      <c r="K200" s="61">
        <f>SUM(H200:J200)</f>
        <v>0</v>
      </c>
      <c r="L200" s="60"/>
      <c r="M200" s="60"/>
      <c r="N200" s="60"/>
      <c r="O200" s="61">
        <f>SUM(L200:N200)</f>
        <v>0</v>
      </c>
      <c r="P200" s="60"/>
      <c r="Q200" s="60"/>
      <c r="R200" s="60"/>
      <c r="S200" s="61">
        <f>SUM(P200:R200)</f>
        <v>0</v>
      </c>
      <c r="T200" s="60"/>
      <c r="U200" s="60"/>
      <c r="V200" s="60"/>
      <c r="W200" s="61">
        <f>SUM(T200:V200)</f>
        <v>0</v>
      </c>
      <c r="X200" s="60"/>
      <c r="Y200" s="60"/>
      <c r="Z200" s="60"/>
      <c r="AA200" s="61">
        <f>SUM(X200:Z200)</f>
        <v>0</v>
      </c>
      <c r="AB200" s="60"/>
      <c r="AC200" s="60"/>
      <c r="AD200" s="60"/>
      <c r="AE200" s="61">
        <f>SUM(AB200:AD200)</f>
        <v>0</v>
      </c>
      <c r="AF200" s="68">
        <f t="shared" si="46"/>
        <v>0</v>
      </c>
    </row>
    <row r="201" spans="1:32" hidden="1" x14ac:dyDescent="0.35">
      <c r="A201" s="111"/>
      <c r="B201" s="54"/>
      <c r="C201" s="63" t="s">
        <v>227</v>
      </c>
      <c r="D201" s="63"/>
      <c r="E201" s="63"/>
      <c r="F201" s="63"/>
      <c r="G201" s="61">
        <f>SUM(D201:F201)</f>
        <v>0</v>
      </c>
      <c r="H201" s="63"/>
      <c r="I201" s="63"/>
      <c r="J201" s="63"/>
      <c r="K201" s="61">
        <f>SUM(H201:J201)</f>
        <v>0</v>
      </c>
      <c r="L201" s="63"/>
      <c r="M201" s="63"/>
      <c r="N201" s="63"/>
      <c r="O201" s="61">
        <f>SUM(L201:N201)</f>
        <v>0</v>
      </c>
      <c r="P201" s="63"/>
      <c r="Q201" s="63"/>
      <c r="R201" s="63"/>
      <c r="S201" s="61">
        <f>SUM(P201:R201)</f>
        <v>0</v>
      </c>
      <c r="T201" s="63"/>
      <c r="U201" s="63"/>
      <c r="V201" s="63"/>
      <c r="W201" s="61">
        <f>SUM(T201:V201)</f>
        <v>0</v>
      </c>
      <c r="X201" s="63"/>
      <c r="Y201" s="63"/>
      <c r="Z201" s="63"/>
      <c r="AA201" s="61">
        <f>SUM(X201:Z201)</f>
        <v>0</v>
      </c>
      <c r="AB201" s="63"/>
      <c r="AC201" s="63"/>
      <c r="AD201" s="63"/>
      <c r="AE201" s="61">
        <f>SUM(AB201:AD201)</f>
        <v>0</v>
      </c>
      <c r="AF201" s="68">
        <f t="shared" si="46"/>
        <v>0</v>
      </c>
    </row>
    <row r="202" spans="1:32" hidden="1" x14ac:dyDescent="0.35">
      <c r="A202" s="111"/>
      <c r="B202" s="54"/>
      <c r="C202" s="60" t="s">
        <v>228</v>
      </c>
      <c r="D202" s="60"/>
      <c r="E202" s="60"/>
      <c r="F202" s="60"/>
      <c r="G202" s="61">
        <f>SUM(D202:F202)</f>
        <v>0</v>
      </c>
      <c r="H202" s="60"/>
      <c r="I202" s="60"/>
      <c r="J202" s="60"/>
      <c r="K202" s="61">
        <f>SUM(H202:J202)</f>
        <v>0</v>
      </c>
      <c r="L202" s="60"/>
      <c r="M202" s="60"/>
      <c r="N202" s="60"/>
      <c r="O202" s="61">
        <f>SUM(L202:N202)</f>
        <v>0</v>
      </c>
      <c r="P202" s="60"/>
      <c r="Q202" s="60"/>
      <c r="R202" s="60"/>
      <c r="S202" s="61">
        <f>SUM(P202:R202)</f>
        <v>0</v>
      </c>
      <c r="T202" s="60"/>
      <c r="U202" s="60"/>
      <c r="V202" s="60"/>
      <c r="W202" s="61">
        <f>SUM(T202:V202)</f>
        <v>0</v>
      </c>
      <c r="X202" s="60"/>
      <c r="Y202" s="60"/>
      <c r="Z202" s="60"/>
      <c r="AA202" s="61">
        <f>SUM(X202:Z202)</f>
        <v>0</v>
      </c>
      <c r="AB202" s="60"/>
      <c r="AC202" s="60"/>
      <c r="AD202" s="60"/>
      <c r="AE202" s="61">
        <f>SUM(AB202:AD202)</f>
        <v>0</v>
      </c>
      <c r="AF202" s="68">
        <f t="shared" si="46"/>
        <v>0</v>
      </c>
    </row>
    <row r="203" spans="1:32" hidden="1" x14ac:dyDescent="0.35">
      <c r="A203" s="111"/>
      <c r="B203" s="54"/>
      <c r="C203" s="63" t="s">
        <v>235</v>
      </c>
      <c r="D203" s="63"/>
      <c r="E203" s="63"/>
      <c r="F203" s="63"/>
      <c r="G203" s="61">
        <f>SUM(D203:F203)</f>
        <v>0</v>
      </c>
      <c r="H203" s="63"/>
      <c r="I203" s="63"/>
      <c r="J203" s="63"/>
      <c r="K203" s="61">
        <f>SUM(H203:J203)</f>
        <v>0</v>
      </c>
      <c r="L203" s="63"/>
      <c r="M203" s="63"/>
      <c r="N203" s="63"/>
      <c r="O203" s="61">
        <f>SUM(L203:N203)</f>
        <v>0</v>
      </c>
      <c r="P203" s="63"/>
      <c r="Q203" s="63"/>
      <c r="R203" s="63"/>
      <c r="S203" s="61">
        <f>SUM(P203:R203)</f>
        <v>0</v>
      </c>
      <c r="T203" s="63"/>
      <c r="U203" s="63"/>
      <c r="V203" s="63"/>
      <c r="W203" s="61">
        <f>SUM(T203:V203)</f>
        <v>0</v>
      </c>
      <c r="X203" s="63"/>
      <c r="Y203" s="63"/>
      <c r="Z203" s="63"/>
      <c r="AA203" s="61">
        <f>SUM(X203:Z203)</f>
        <v>0</v>
      </c>
      <c r="AB203" s="63"/>
      <c r="AC203" s="63"/>
      <c r="AD203" s="63"/>
      <c r="AE203" s="61">
        <f>SUM(AB203:AD203)</f>
        <v>0</v>
      </c>
      <c r="AF203" s="68">
        <f t="shared" si="46"/>
        <v>0</v>
      </c>
    </row>
    <row r="204" spans="1:32" hidden="1" x14ac:dyDescent="0.35">
      <c r="A204" s="76" t="s">
        <v>409</v>
      </c>
      <c r="B204" s="67" t="s">
        <v>307</v>
      </c>
      <c r="C204" s="66"/>
      <c r="D204" s="66">
        <f t="shared" ref="D204:AE204" si="48">SUM(D200:D203)</f>
        <v>0</v>
      </c>
      <c r="E204" s="66">
        <f t="shared" si="48"/>
        <v>0</v>
      </c>
      <c r="F204" s="66">
        <f t="shared" si="48"/>
        <v>0</v>
      </c>
      <c r="G204" s="61">
        <f t="shared" si="48"/>
        <v>0</v>
      </c>
      <c r="H204" s="66">
        <f t="shared" si="48"/>
        <v>0</v>
      </c>
      <c r="I204" s="66">
        <f t="shared" si="48"/>
        <v>0</v>
      </c>
      <c r="J204" s="66">
        <f t="shared" si="48"/>
        <v>0</v>
      </c>
      <c r="K204" s="61">
        <f t="shared" si="48"/>
        <v>0</v>
      </c>
      <c r="L204" s="66">
        <f t="shared" si="48"/>
        <v>0</v>
      </c>
      <c r="M204" s="66">
        <f t="shared" si="48"/>
        <v>0</v>
      </c>
      <c r="N204" s="66">
        <f t="shared" si="48"/>
        <v>0</v>
      </c>
      <c r="O204" s="61">
        <f t="shared" si="48"/>
        <v>0</v>
      </c>
      <c r="P204" s="66">
        <f t="shared" si="48"/>
        <v>0</v>
      </c>
      <c r="Q204" s="66">
        <f t="shared" si="48"/>
        <v>0</v>
      </c>
      <c r="R204" s="66">
        <f t="shared" si="48"/>
        <v>0</v>
      </c>
      <c r="S204" s="61">
        <f t="shared" si="48"/>
        <v>0</v>
      </c>
      <c r="T204" s="66">
        <f t="shared" si="48"/>
        <v>0</v>
      </c>
      <c r="U204" s="66">
        <f t="shared" si="48"/>
        <v>0</v>
      </c>
      <c r="V204" s="66">
        <f t="shared" si="48"/>
        <v>0</v>
      </c>
      <c r="W204" s="61">
        <f t="shared" si="48"/>
        <v>0</v>
      </c>
      <c r="X204" s="66">
        <f t="shared" si="48"/>
        <v>0</v>
      </c>
      <c r="Y204" s="66">
        <f t="shared" si="48"/>
        <v>0</v>
      </c>
      <c r="Z204" s="66">
        <f t="shared" si="48"/>
        <v>0</v>
      </c>
      <c r="AA204" s="61">
        <f t="shared" si="48"/>
        <v>0</v>
      </c>
      <c r="AB204" s="66">
        <f t="shared" si="48"/>
        <v>0</v>
      </c>
      <c r="AC204" s="66">
        <f t="shared" si="48"/>
        <v>0</v>
      </c>
      <c r="AD204" s="66">
        <f t="shared" si="48"/>
        <v>0</v>
      </c>
      <c r="AE204" s="61">
        <f t="shared" si="48"/>
        <v>0</v>
      </c>
      <c r="AF204" s="68">
        <f t="shared" si="46"/>
        <v>0</v>
      </c>
    </row>
    <row r="205" spans="1:32" x14ac:dyDescent="0.35">
      <c r="A205" s="66" t="s">
        <v>306</v>
      </c>
      <c r="B205" s="67" t="s">
        <v>307</v>
      </c>
      <c r="C205" s="66"/>
      <c r="D205" s="66">
        <f t="shared" ref="D205:AE205" si="49">SUM(D204,D199,D194)</f>
        <v>0</v>
      </c>
      <c r="E205" s="66">
        <f t="shared" si="49"/>
        <v>0</v>
      </c>
      <c r="F205" s="66">
        <f t="shared" si="49"/>
        <v>0</v>
      </c>
      <c r="G205" s="66">
        <f t="shared" si="49"/>
        <v>0</v>
      </c>
      <c r="H205" s="66">
        <f t="shared" si="49"/>
        <v>0</v>
      </c>
      <c r="I205" s="66">
        <f t="shared" si="49"/>
        <v>0</v>
      </c>
      <c r="J205" s="66">
        <f t="shared" si="49"/>
        <v>0</v>
      </c>
      <c r="K205" s="66">
        <f t="shared" si="49"/>
        <v>0</v>
      </c>
      <c r="L205" s="66">
        <f t="shared" si="49"/>
        <v>0</v>
      </c>
      <c r="M205" s="66">
        <f t="shared" si="49"/>
        <v>0</v>
      </c>
      <c r="N205" s="66">
        <f t="shared" si="49"/>
        <v>0</v>
      </c>
      <c r="O205" s="66">
        <f t="shared" si="49"/>
        <v>0</v>
      </c>
      <c r="P205" s="66">
        <f t="shared" si="49"/>
        <v>0</v>
      </c>
      <c r="Q205" s="66">
        <f t="shared" si="49"/>
        <v>0</v>
      </c>
      <c r="R205" s="66">
        <f t="shared" si="49"/>
        <v>0</v>
      </c>
      <c r="S205" s="66">
        <f t="shared" si="49"/>
        <v>0</v>
      </c>
      <c r="T205" s="66">
        <f t="shared" si="49"/>
        <v>0</v>
      </c>
      <c r="U205" s="66">
        <f t="shared" si="49"/>
        <v>0</v>
      </c>
      <c r="V205" s="66">
        <f t="shared" si="49"/>
        <v>0</v>
      </c>
      <c r="W205" s="66">
        <f t="shared" si="49"/>
        <v>0</v>
      </c>
      <c r="X205" s="66">
        <f t="shared" si="49"/>
        <v>0</v>
      </c>
      <c r="Y205" s="66">
        <f t="shared" si="49"/>
        <v>0</v>
      </c>
      <c r="Z205" s="66">
        <f t="shared" si="49"/>
        <v>0</v>
      </c>
      <c r="AA205" s="66">
        <f t="shared" si="49"/>
        <v>0</v>
      </c>
      <c r="AB205" s="66">
        <f t="shared" si="49"/>
        <v>0</v>
      </c>
      <c r="AC205" s="66">
        <f t="shared" si="49"/>
        <v>0</v>
      </c>
      <c r="AD205" s="66">
        <f t="shared" si="49"/>
        <v>0</v>
      </c>
      <c r="AE205" s="66">
        <f t="shared" si="49"/>
        <v>0</v>
      </c>
      <c r="AF205" s="68">
        <f t="shared" si="46"/>
        <v>0</v>
      </c>
    </row>
    <row r="206" spans="1:32" hidden="1" x14ac:dyDescent="0.35">
      <c r="A206" s="59" t="s">
        <v>310</v>
      </c>
      <c r="B206" s="54">
        <v>30</v>
      </c>
      <c r="C206" s="60" t="s">
        <v>225</v>
      </c>
      <c r="D206" s="60"/>
      <c r="E206" s="60"/>
      <c r="F206" s="60"/>
      <c r="G206" s="61">
        <f>SUM(D206:F206)</f>
        <v>0</v>
      </c>
      <c r="H206" s="60"/>
      <c r="I206" s="60"/>
      <c r="J206" s="60"/>
      <c r="K206" s="61">
        <f>SUM(H206:J206)</f>
        <v>0</v>
      </c>
      <c r="L206" s="60"/>
      <c r="M206" s="60"/>
      <c r="N206" s="60"/>
      <c r="O206" s="61">
        <f>SUM(L206:N206)</f>
        <v>0</v>
      </c>
      <c r="P206" s="60"/>
      <c r="Q206" s="60"/>
      <c r="R206" s="60"/>
      <c r="S206" s="61">
        <f>SUM(P206:R206)</f>
        <v>0</v>
      </c>
      <c r="T206" s="60"/>
      <c r="U206" s="60"/>
      <c r="V206" s="60"/>
      <c r="W206" s="61">
        <f>SUM(T206:V206)</f>
        <v>0</v>
      </c>
      <c r="X206" s="60"/>
      <c r="Y206" s="60"/>
      <c r="Z206" s="60"/>
      <c r="AA206" s="61">
        <f>SUM(X206:Z206)</f>
        <v>0</v>
      </c>
      <c r="AB206" s="60"/>
      <c r="AC206" s="60"/>
      <c r="AD206" s="60"/>
      <c r="AE206" s="61">
        <f>SUM(AB206:AD206)</f>
        <v>0</v>
      </c>
      <c r="AF206" s="68">
        <f t="shared" si="46"/>
        <v>0</v>
      </c>
    </row>
    <row r="207" spans="1:32" hidden="1" x14ac:dyDescent="0.35">
      <c r="A207" s="111" t="s">
        <v>263</v>
      </c>
      <c r="B207" s="54"/>
      <c r="C207" s="63" t="s">
        <v>227</v>
      </c>
      <c r="D207" s="63"/>
      <c r="E207" s="63"/>
      <c r="F207" s="63"/>
      <c r="G207" s="61">
        <f>SUM(D207:F207)</f>
        <v>0</v>
      </c>
      <c r="H207" s="63"/>
      <c r="I207" s="63"/>
      <c r="J207" s="63"/>
      <c r="K207" s="61">
        <f>SUM(H207:J207)</f>
        <v>0</v>
      </c>
      <c r="L207" s="63"/>
      <c r="M207" s="63"/>
      <c r="N207" s="63"/>
      <c r="O207" s="61">
        <f>SUM(L207:N207)</f>
        <v>0</v>
      </c>
      <c r="P207" s="63"/>
      <c r="Q207" s="63"/>
      <c r="R207" s="63"/>
      <c r="S207" s="61">
        <f>SUM(P207:R207)</f>
        <v>0</v>
      </c>
      <c r="T207" s="63"/>
      <c r="U207" s="63"/>
      <c r="V207" s="63"/>
      <c r="W207" s="61">
        <f>SUM(T207:V207)</f>
        <v>0</v>
      </c>
      <c r="X207" s="63"/>
      <c r="Y207" s="63"/>
      <c r="Z207" s="63"/>
      <c r="AA207" s="61">
        <f>SUM(X207:Z207)</f>
        <v>0</v>
      </c>
      <c r="AB207" s="63"/>
      <c r="AC207" s="63"/>
      <c r="AD207" s="63"/>
      <c r="AE207" s="61">
        <f>SUM(AB207:AD207)</f>
        <v>0</v>
      </c>
      <c r="AF207" s="68">
        <f t="shared" si="46"/>
        <v>0</v>
      </c>
    </row>
    <row r="208" spans="1:32" hidden="1" x14ac:dyDescent="0.35">
      <c r="A208" s="111"/>
      <c r="B208" s="54"/>
      <c r="C208" s="60" t="s">
        <v>228</v>
      </c>
      <c r="D208" s="60"/>
      <c r="E208" s="60"/>
      <c r="F208" s="60"/>
      <c r="G208" s="61">
        <f>SUM(D208:F208)</f>
        <v>0</v>
      </c>
      <c r="H208" s="60"/>
      <c r="I208" s="60"/>
      <c r="J208" s="60"/>
      <c r="K208" s="61">
        <f>SUM(H208:J208)</f>
        <v>0</v>
      </c>
      <c r="L208" s="60"/>
      <c r="M208" s="60"/>
      <c r="N208" s="60"/>
      <c r="O208" s="61">
        <f>SUM(L208:N208)</f>
        <v>0</v>
      </c>
      <c r="P208" s="60"/>
      <c r="Q208" s="60"/>
      <c r="R208" s="60"/>
      <c r="S208" s="61">
        <f>SUM(P208:R208)</f>
        <v>0</v>
      </c>
      <c r="T208" s="60"/>
      <c r="U208" s="60"/>
      <c r="V208" s="60"/>
      <c r="W208" s="61">
        <f>SUM(T208:V208)</f>
        <v>0</v>
      </c>
      <c r="X208" s="60"/>
      <c r="Y208" s="60"/>
      <c r="Z208" s="60"/>
      <c r="AA208" s="61">
        <f>SUM(X208:Z208)</f>
        <v>0</v>
      </c>
      <c r="AB208" s="60"/>
      <c r="AC208" s="60"/>
      <c r="AD208" s="60"/>
      <c r="AE208" s="61">
        <f>SUM(AB208:AD208)</f>
        <v>0</v>
      </c>
      <c r="AF208" s="68">
        <f t="shared" si="46"/>
        <v>0</v>
      </c>
    </row>
    <row r="209" spans="1:32" hidden="1" x14ac:dyDescent="0.35">
      <c r="A209" s="111"/>
      <c r="B209" s="54"/>
      <c r="C209" s="63" t="s">
        <v>235</v>
      </c>
      <c r="D209" s="63"/>
      <c r="E209" s="63"/>
      <c r="F209" s="63"/>
      <c r="G209" s="61">
        <f>SUM(D209:F209)</f>
        <v>0</v>
      </c>
      <c r="H209" s="63"/>
      <c r="I209" s="63"/>
      <c r="J209" s="63"/>
      <c r="K209" s="61">
        <f>SUM(H209:J209)</f>
        <v>0</v>
      </c>
      <c r="L209" s="63"/>
      <c r="M209" s="63"/>
      <c r="N209" s="63"/>
      <c r="O209" s="61">
        <f>SUM(L209:N209)</f>
        <v>0</v>
      </c>
      <c r="P209" s="63"/>
      <c r="Q209" s="63"/>
      <c r="R209" s="63"/>
      <c r="S209" s="61">
        <f>SUM(P209:R209)</f>
        <v>0</v>
      </c>
      <c r="T209" s="63">
        <v>2</v>
      </c>
      <c r="U209" s="63">
        <v>1</v>
      </c>
      <c r="V209" s="63"/>
      <c r="W209" s="61">
        <f>SUM(T209:V209)</f>
        <v>3</v>
      </c>
      <c r="X209" s="63"/>
      <c r="Y209" s="63"/>
      <c r="Z209" s="63"/>
      <c r="AA209" s="61">
        <f>SUM(X209:Z209)</f>
        <v>0</v>
      </c>
      <c r="AB209" s="63"/>
      <c r="AC209" s="63"/>
      <c r="AD209" s="63"/>
      <c r="AE209" s="61">
        <f>SUM(AB209:AD209)</f>
        <v>0</v>
      </c>
      <c r="AF209" s="68">
        <f t="shared" si="46"/>
        <v>3</v>
      </c>
    </row>
    <row r="210" spans="1:32" x14ac:dyDescent="0.35">
      <c r="A210" s="66" t="s">
        <v>310</v>
      </c>
      <c r="B210" s="67">
        <v>30</v>
      </c>
      <c r="C210" s="66"/>
      <c r="D210" s="66">
        <f t="shared" ref="D210:AE210" si="50">SUM(D206:D209)</f>
        <v>0</v>
      </c>
      <c r="E210" s="66">
        <f t="shared" si="50"/>
        <v>0</v>
      </c>
      <c r="F210" s="66">
        <f t="shared" si="50"/>
        <v>0</v>
      </c>
      <c r="G210" s="61">
        <f t="shared" si="50"/>
        <v>0</v>
      </c>
      <c r="H210" s="66">
        <f t="shared" si="50"/>
        <v>0</v>
      </c>
      <c r="I210" s="66">
        <f t="shared" si="50"/>
        <v>0</v>
      </c>
      <c r="J210" s="66">
        <f t="shared" si="50"/>
        <v>0</v>
      </c>
      <c r="K210" s="61">
        <f t="shared" si="50"/>
        <v>0</v>
      </c>
      <c r="L210" s="66">
        <f t="shared" si="50"/>
        <v>0</v>
      </c>
      <c r="M210" s="66">
        <f t="shared" si="50"/>
        <v>0</v>
      </c>
      <c r="N210" s="66">
        <f t="shared" si="50"/>
        <v>0</v>
      </c>
      <c r="O210" s="61">
        <f t="shared" si="50"/>
        <v>0</v>
      </c>
      <c r="P210" s="66">
        <f t="shared" si="50"/>
        <v>0</v>
      </c>
      <c r="Q210" s="66">
        <f t="shared" si="50"/>
        <v>0</v>
      </c>
      <c r="R210" s="66">
        <f t="shared" si="50"/>
        <v>0</v>
      </c>
      <c r="S210" s="61">
        <f t="shared" si="50"/>
        <v>0</v>
      </c>
      <c r="T210" s="66">
        <f t="shared" si="50"/>
        <v>2</v>
      </c>
      <c r="U210" s="66">
        <f t="shared" si="50"/>
        <v>1</v>
      </c>
      <c r="V210" s="66">
        <f t="shared" si="50"/>
        <v>0</v>
      </c>
      <c r="W210" s="61">
        <f t="shared" si="50"/>
        <v>3</v>
      </c>
      <c r="X210" s="66">
        <f t="shared" si="50"/>
        <v>0</v>
      </c>
      <c r="Y210" s="66">
        <f t="shared" si="50"/>
        <v>0</v>
      </c>
      <c r="Z210" s="66">
        <f t="shared" si="50"/>
        <v>0</v>
      </c>
      <c r="AA210" s="61">
        <f t="shared" si="50"/>
        <v>0</v>
      </c>
      <c r="AB210" s="66">
        <f t="shared" si="50"/>
        <v>0</v>
      </c>
      <c r="AC210" s="66">
        <f t="shared" si="50"/>
        <v>0</v>
      </c>
      <c r="AD210" s="66">
        <f t="shared" si="50"/>
        <v>0</v>
      </c>
      <c r="AE210" s="61">
        <f t="shared" si="50"/>
        <v>0</v>
      </c>
      <c r="AF210" s="68">
        <f t="shared" si="46"/>
        <v>3</v>
      </c>
    </row>
    <row r="211" spans="1:32" ht="15.75" hidden="1" customHeight="1" x14ac:dyDescent="0.35">
      <c r="A211" s="59" t="s">
        <v>311</v>
      </c>
      <c r="B211" s="54">
        <v>11</v>
      </c>
      <c r="C211" s="60" t="s">
        <v>225</v>
      </c>
      <c r="D211" s="60"/>
      <c r="E211" s="60"/>
      <c r="F211" s="60"/>
      <c r="G211" s="61">
        <f>SUM(D211:F211)</f>
        <v>0</v>
      </c>
      <c r="H211" s="60"/>
      <c r="I211" s="60"/>
      <c r="J211" s="60"/>
      <c r="K211" s="61">
        <f>SUM(H211:J211)</f>
        <v>0</v>
      </c>
      <c r="L211" s="60"/>
      <c r="M211" s="60"/>
      <c r="N211" s="60"/>
      <c r="O211" s="61">
        <f>SUM(L211:N211)</f>
        <v>0</v>
      </c>
      <c r="P211" s="60"/>
      <c r="Q211" s="60"/>
      <c r="R211" s="60"/>
      <c r="S211" s="61">
        <f>SUM(P211:R211)</f>
        <v>0</v>
      </c>
      <c r="T211" s="60"/>
      <c r="U211" s="60"/>
      <c r="V211" s="60"/>
      <c r="W211" s="61">
        <f>SUM(T211:V211)</f>
        <v>0</v>
      </c>
      <c r="X211" s="60"/>
      <c r="Y211" s="60"/>
      <c r="Z211" s="60"/>
      <c r="AA211" s="61">
        <f>SUM(X211:Z211)</f>
        <v>0</v>
      </c>
      <c r="AB211" s="60"/>
      <c r="AC211" s="60"/>
      <c r="AD211" s="60"/>
      <c r="AE211" s="61">
        <f>SUM(AB211:AD211)</f>
        <v>0</v>
      </c>
      <c r="AF211" s="68">
        <f t="shared" si="46"/>
        <v>0</v>
      </c>
    </row>
    <row r="212" spans="1:32" hidden="1" x14ac:dyDescent="0.35">
      <c r="A212" s="111" t="s">
        <v>300</v>
      </c>
      <c r="B212" s="54"/>
      <c r="C212" s="63" t="s">
        <v>227</v>
      </c>
      <c r="D212" s="63"/>
      <c r="E212" s="63"/>
      <c r="F212" s="63"/>
      <c r="G212" s="61">
        <f>SUM(D212:F212)</f>
        <v>0</v>
      </c>
      <c r="H212" s="63"/>
      <c r="I212" s="63"/>
      <c r="J212" s="63"/>
      <c r="K212" s="61">
        <f>SUM(H212:J212)</f>
        <v>0</v>
      </c>
      <c r="L212" s="63"/>
      <c r="M212" s="63"/>
      <c r="N212" s="63"/>
      <c r="O212" s="61">
        <f>SUM(L212:N212)</f>
        <v>0</v>
      </c>
      <c r="P212" s="63"/>
      <c r="Q212" s="63"/>
      <c r="R212" s="63"/>
      <c r="S212" s="61">
        <f>SUM(P212:R212)</f>
        <v>0</v>
      </c>
      <c r="T212" s="63"/>
      <c r="U212" s="63"/>
      <c r="V212" s="63"/>
      <c r="W212" s="61">
        <f>SUM(T212:V212)</f>
        <v>0</v>
      </c>
      <c r="X212" s="63"/>
      <c r="Y212" s="63"/>
      <c r="Z212" s="63"/>
      <c r="AA212" s="61">
        <f>SUM(X212:Z212)</f>
        <v>0</v>
      </c>
      <c r="AB212" s="63"/>
      <c r="AC212" s="63"/>
      <c r="AD212" s="63"/>
      <c r="AE212" s="61">
        <f>SUM(AB212:AD212)</f>
        <v>0</v>
      </c>
      <c r="AF212" s="68">
        <f t="shared" si="46"/>
        <v>0</v>
      </c>
    </row>
    <row r="213" spans="1:32" hidden="1" x14ac:dyDescent="0.35">
      <c r="A213" s="111"/>
      <c r="B213" s="54"/>
      <c r="C213" s="60" t="s">
        <v>228</v>
      </c>
      <c r="D213" s="60"/>
      <c r="E213" s="60"/>
      <c r="F213" s="60"/>
      <c r="G213" s="61">
        <f>SUM(D213:F213)</f>
        <v>0</v>
      </c>
      <c r="H213" s="60"/>
      <c r="I213" s="60"/>
      <c r="J213" s="60"/>
      <c r="K213" s="61">
        <f>SUM(H213:J213)</f>
        <v>0</v>
      </c>
      <c r="L213" s="60"/>
      <c r="M213" s="60"/>
      <c r="N213" s="60"/>
      <c r="O213" s="61">
        <f>SUM(L213:N213)</f>
        <v>0</v>
      </c>
      <c r="P213" s="60"/>
      <c r="Q213" s="60"/>
      <c r="R213" s="60"/>
      <c r="S213" s="61">
        <f>SUM(P213:R213)</f>
        <v>0</v>
      </c>
      <c r="T213" s="60"/>
      <c r="U213" s="60"/>
      <c r="V213" s="60"/>
      <c r="W213" s="61">
        <f>SUM(T213:V213)</f>
        <v>0</v>
      </c>
      <c r="X213" s="60">
        <v>1</v>
      </c>
      <c r="Y213" s="60"/>
      <c r="Z213" s="60"/>
      <c r="AA213" s="61">
        <f>SUM(X213:Z213)</f>
        <v>1</v>
      </c>
      <c r="AB213" s="60"/>
      <c r="AC213" s="60"/>
      <c r="AD213" s="60"/>
      <c r="AE213" s="61">
        <f>SUM(AB213:AD213)</f>
        <v>0</v>
      </c>
      <c r="AF213" s="68">
        <f t="shared" si="46"/>
        <v>1</v>
      </c>
    </row>
    <row r="214" spans="1:32" hidden="1" x14ac:dyDescent="0.35">
      <c r="A214" s="111"/>
      <c r="B214" s="54"/>
      <c r="C214" s="63" t="s">
        <v>235</v>
      </c>
      <c r="D214" s="63"/>
      <c r="E214" s="63"/>
      <c r="F214" s="63"/>
      <c r="G214" s="61">
        <f>SUM(D214:F214)</f>
        <v>0</v>
      </c>
      <c r="H214" s="63"/>
      <c r="I214" s="63"/>
      <c r="J214" s="63"/>
      <c r="K214" s="61">
        <f>SUM(H214:J214)</f>
        <v>0</v>
      </c>
      <c r="L214" s="63"/>
      <c r="M214" s="63"/>
      <c r="N214" s="63"/>
      <c r="O214" s="61">
        <f>SUM(L214:N214)</f>
        <v>0</v>
      </c>
      <c r="P214" s="63"/>
      <c r="Q214" s="63"/>
      <c r="R214" s="63"/>
      <c r="S214" s="61">
        <f>SUM(P214:R214)</f>
        <v>0</v>
      </c>
      <c r="T214" s="63"/>
      <c r="U214" s="63"/>
      <c r="V214" s="63"/>
      <c r="W214" s="61">
        <f>SUM(T214:V214)</f>
        <v>0</v>
      </c>
      <c r="X214" s="63">
        <v>1</v>
      </c>
      <c r="Y214" s="63"/>
      <c r="Z214" s="63"/>
      <c r="AA214" s="61">
        <f>SUM(X214:Z214)</f>
        <v>1</v>
      </c>
      <c r="AB214" s="63"/>
      <c r="AC214" s="63"/>
      <c r="AD214" s="63"/>
      <c r="AE214" s="61">
        <f>SUM(AB214:AD214)</f>
        <v>0</v>
      </c>
      <c r="AF214" s="68">
        <f t="shared" si="46"/>
        <v>1</v>
      </c>
    </row>
    <row r="215" spans="1:32" x14ac:dyDescent="0.35">
      <c r="A215" s="66" t="s">
        <v>311</v>
      </c>
      <c r="B215" s="67">
        <v>11</v>
      </c>
      <c r="C215" s="66"/>
      <c r="D215" s="66">
        <f t="shared" ref="D215:AE215" si="51">SUM(D211:D214)</f>
        <v>0</v>
      </c>
      <c r="E215" s="66">
        <f t="shared" si="51"/>
        <v>0</v>
      </c>
      <c r="F215" s="66">
        <f t="shared" si="51"/>
        <v>0</v>
      </c>
      <c r="G215" s="61">
        <f t="shared" si="51"/>
        <v>0</v>
      </c>
      <c r="H215" s="66">
        <f t="shared" si="51"/>
        <v>0</v>
      </c>
      <c r="I215" s="66">
        <f t="shared" si="51"/>
        <v>0</v>
      </c>
      <c r="J215" s="66">
        <f t="shared" si="51"/>
        <v>0</v>
      </c>
      <c r="K215" s="61">
        <f t="shared" si="51"/>
        <v>0</v>
      </c>
      <c r="L215" s="66">
        <f t="shared" si="51"/>
        <v>0</v>
      </c>
      <c r="M215" s="66">
        <f t="shared" si="51"/>
        <v>0</v>
      </c>
      <c r="N215" s="66">
        <f t="shared" si="51"/>
        <v>0</v>
      </c>
      <c r="O215" s="61">
        <f t="shared" si="51"/>
        <v>0</v>
      </c>
      <c r="P215" s="66">
        <f t="shared" si="51"/>
        <v>0</v>
      </c>
      <c r="Q215" s="66">
        <f t="shared" si="51"/>
        <v>0</v>
      </c>
      <c r="R215" s="66">
        <f t="shared" si="51"/>
        <v>0</v>
      </c>
      <c r="S215" s="61">
        <f t="shared" si="51"/>
        <v>0</v>
      </c>
      <c r="T215" s="66">
        <f t="shared" si="51"/>
        <v>0</v>
      </c>
      <c r="U215" s="66">
        <f t="shared" si="51"/>
        <v>0</v>
      </c>
      <c r="V215" s="66">
        <f t="shared" si="51"/>
        <v>0</v>
      </c>
      <c r="W215" s="61">
        <f t="shared" si="51"/>
        <v>0</v>
      </c>
      <c r="X215" s="66">
        <f t="shared" si="51"/>
        <v>2</v>
      </c>
      <c r="Y215" s="66">
        <f t="shared" si="51"/>
        <v>0</v>
      </c>
      <c r="Z215" s="66">
        <f t="shared" si="51"/>
        <v>0</v>
      </c>
      <c r="AA215" s="61">
        <f t="shared" si="51"/>
        <v>2</v>
      </c>
      <c r="AB215" s="66">
        <f t="shared" si="51"/>
        <v>0</v>
      </c>
      <c r="AC215" s="66">
        <f t="shared" si="51"/>
        <v>0</v>
      </c>
      <c r="AD215" s="66">
        <f t="shared" si="51"/>
        <v>0</v>
      </c>
      <c r="AE215" s="61">
        <f t="shared" si="51"/>
        <v>0</v>
      </c>
      <c r="AF215" s="68">
        <f t="shared" si="46"/>
        <v>2</v>
      </c>
    </row>
    <row r="216" spans="1:32" hidden="1" x14ac:dyDescent="0.35">
      <c r="A216" s="59" t="s">
        <v>312</v>
      </c>
      <c r="B216" s="54">
        <v>4</v>
      </c>
      <c r="C216" s="60" t="s">
        <v>225</v>
      </c>
      <c r="D216" s="60"/>
      <c r="E216" s="60"/>
      <c r="F216" s="60"/>
      <c r="G216" s="61">
        <f>SUM(D216:F216)</f>
        <v>0</v>
      </c>
      <c r="H216" s="60"/>
      <c r="I216" s="60"/>
      <c r="J216" s="60"/>
      <c r="K216" s="61">
        <f>SUM(H216:J216)</f>
        <v>0</v>
      </c>
      <c r="L216" s="60"/>
      <c r="M216" s="60"/>
      <c r="N216" s="60"/>
      <c r="O216" s="61">
        <f>SUM(L216:N216)</f>
        <v>0</v>
      </c>
      <c r="P216" s="60"/>
      <c r="Q216" s="60"/>
      <c r="R216" s="60"/>
      <c r="S216" s="61">
        <f>SUM(P216:R216)</f>
        <v>0</v>
      </c>
      <c r="T216" s="60"/>
      <c r="U216" s="60"/>
      <c r="V216" s="60"/>
      <c r="W216" s="61">
        <f>SUM(T216:V216)</f>
        <v>0</v>
      </c>
      <c r="X216" s="60"/>
      <c r="Y216" s="60"/>
      <c r="Z216" s="60"/>
      <c r="AA216" s="61">
        <f>SUM(X216:Z216)</f>
        <v>0</v>
      </c>
      <c r="AB216" s="60"/>
      <c r="AC216" s="60"/>
      <c r="AD216" s="60"/>
      <c r="AE216" s="61">
        <f>SUM(AB216:AD216)</f>
        <v>0</v>
      </c>
      <c r="AF216" s="68">
        <f t="shared" si="46"/>
        <v>0</v>
      </c>
    </row>
    <row r="217" spans="1:32" hidden="1" x14ac:dyDescent="0.35">
      <c r="A217" s="111" t="s">
        <v>254</v>
      </c>
      <c r="B217" s="54"/>
      <c r="C217" s="63" t="s">
        <v>227</v>
      </c>
      <c r="D217" s="63"/>
      <c r="E217" s="63"/>
      <c r="F217" s="63"/>
      <c r="G217" s="61">
        <f>SUM(D217:F217)</f>
        <v>0</v>
      </c>
      <c r="H217" s="63"/>
      <c r="I217" s="63"/>
      <c r="J217" s="63"/>
      <c r="K217" s="61">
        <f>SUM(H217:J217)</f>
        <v>0</v>
      </c>
      <c r="L217" s="63"/>
      <c r="M217" s="63"/>
      <c r="N217" s="63"/>
      <c r="O217" s="61">
        <f>SUM(L217:N217)</f>
        <v>0</v>
      </c>
      <c r="P217" s="63"/>
      <c r="Q217" s="63"/>
      <c r="R217" s="63"/>
      <c r="S217" s="61">
        <f>SUM(P217:R217)</f>
        <v>0</v>
      </c>
      <c r="T217" s="63"/>
      <c r="U217" s="63"/>
      <c r="V217" s="63"/>
      <c r="W217" s="61">
        <f>SUM(T217:V217)</f>
        <v>0</v>
      </c>
      <c r="X217" s="63"/>
      <c r="Y217" s="63"/>
      <c r="Z217" s="63"/>
      <c r="AA217" s="61">
        <f>SUM(X217:Z217)</f>
        <v>0</v>
      </c>
      <c r="AB217" s="63"/>
      <c r="AC217" s="63"/>
      <c r="AD217" s="63"/>
      <c r="AE217" s="61">
        <f>SUM(AB217:AD217)</f>
        <v>0</v>
      </c>
      <c r="AF217" s="68">
        <f t="shared" si="46"/>
        <v>0</v>
      </c>
    </row>
    <row r="218" spans="1:32" hidden="1" x14ac:dyDescent="0.35">
      <c r="A218" s="111"/>
      <c r="B218" s="54"/>
      <c r="C218" s="60" t="s">
        <v>228</v>
      </c>
      <c r="D218" s="60"/>
      <c r="E218" s="60"/>
      <c r="F218" s="60"/>
      <c r="G218" s="61">
        <f>SUM(D218:F218)</f>
        <v>0</v>
      </c>
      <c r="H218" s="60"/>
      <c r="I218" s="60"/>
      <c r="J218" s="60"/>
      <c r="K218" s="61">
        <f>SUM(H218:J218)</f>
        <v>0</v>
      </c>
      <c r="L218" s="60"/>
      <c r="M218" s="60"/>
      <c r="N218" s="60"/>
      <c r="O218" s="61">
        <f>SUM(L218:N218)</f>
        <v>0</v>
      </c>
      <c r="P218" s="60"/>
      <c r="Q218" s="60"/>
      <c r="R218" s="60"/>
      <c r="S218" s="61">
        <f>SUM(P218:R218)</f>
        <v>0</v>
      </c>
      <c r="T218" s="60"/>
      <c r="U218" s="60"/>
      <c r="V218" s="60"/>
      <c r="W218" s="61">
        <f>SUM(T218:V218)</f>
        <v>0</v>
      </c>
      <c r="X218" s="60"/>
      <c r="Y218" s="60"/>
      <c r="Z218" s="60"/>
      <c r="AA218" s="61">
        <f>SUM(X218:Z218)</f>
        <v>0</v>
      </c>
      <c r="AB218" s="60"/>
      <c r="AC218" s="60"/>
      <c r="AD218" s="60"/>
      <c r="AE218" s="61">
        <f>SUM(AB218:AD218)</f>
        <v>0</v>
      </c>
      <c r="AF218" s="68">
        <f t="shared" si="46"/>
        <v>0</v>
      </c>
    </row>
    <row r="219" spans="1:32" hidden="1" x14ac:dyDescent="0.35">
      <c r="A219" s="111"/>
      <c r="B219" s="54"/>
      <c r="C219" s="63" t="s">
        <v>235</v>
      </c>
      <c r="D219" s="63"/>
      <c r="E219" s="63"/>
      <c r="F219" s="63"/>
      <c r="G219" s="61">
        <f>SUM(D219:F219)</f>
        <v>0</v>
      </c>
      <c r="H219" s="63"/>
      <c r="I219" s="63"/>
      <c r="J219" s="63"/>
      <c r="K219" s="61">
        <f>SUM(H219:J219)</f>
        <v>0</v>
      </c>
      <c r="L219" s="63"/>
      <c r="M219" s="63"/>
      <c r="N219" s="63"/>
      <c r="O219" s="61">
        <f>SUM(L219:N219)</f>
        <v>0</v>
      </c>
      <c r="P219" s="63"/>
      <c r="Q219" s="63"/>
      <c r="R219" s="63"/>
      <c r="S219" s="61">
        <f>SUM(P219:R219)</f>
        <v>0</v>
      </c>
      <c r="T219" s="63"/>
      <c r="U219" s="63"/>
      <c r="V219" s="63"/>
      <c r="W219" s="61">
        <f>SUM(T219:V219)</f>
        <v>0</v>
      </c>
      <c r="X219" s="63"/>
      <c r="Y219" s="63"/>
      <c r="Z219" s="63"/>
      <c r="AA219" s="61">
        <f>SUM(X219:Z219)</f>
        <v>0</v>
      </c>
      <c r="AB219" s="63"/>
      <c r="AC219" s="63"/>
      <c r="AD219" s="63"/>
      <c r="AE219" s="61">
        <f>SUM(AB219:AD219)</f>
        <v>0</v>
      </c>
      <c r="AF219" s="68">
        <f t="shared" si="46"/>
        <v>0</v>
      </c>
    </row>
    <row r="220" spans="1:32" x14ac:dyDescent="0.35">
      <c r="A220" s="66" t="s">
        <v>312</v>
      </c>
      <c r="B220" s="67">
        <v>4</v>
      </c>
      <c r="C220" s="66"/>
      <c r="D220" s="66">
        <f t="shared" ref="D220:AE220" si="52">SUM(D216:D219)</f>
        <v>0</v>
      </c>
      <c r="E220" s="66">
        <f t="shared" si="52"/>
        <v>0</v>
      </c>
      <c r="F220" s="66">
        <f t="shared" si="52"/>
        <v>0</v>
      </c>
      <c r="G220" s="61">
        <f t="shared" si="52"/>
        <v>0</v>
      </c>
      <c r="H220" s="66">
        <f t="shared" si="52"/>
        <v>0</v>
      </c>
      <c r="I220" s="66">
        <f t="shared" si="52"/>
        <v>0</v>
      </c>
      <c r="J220" s="66">
        <f t="shared" si="52"/>
        <v>0</v>
      </c>
      <c r="K220" s="61">
        <f t="shared" si="52"/>
        <v>0</v>
      </c>
      <c r="L220" s="66">
        <f t="shared" si="52"/>
        <v>0</v>
      </c>
      <c r="M220" s="66">
        <f t="shared" si="52"/>
        <v>0</v>
      </c>
      <c r="N220" s="66">
        <f t="shared" si="52"/>
        <v>0</v>
      </c>
      <c r="O220" s="61">
        <f t="shared" si="52"/>
        <v>0</v>
      </c>
      <c r="P220" s="66">
        <f t="shared" si="52"/>
        <v>0</v>
      </c>
      <c r="Q220" s="66">
        <f t="shared" si="52"/>
        <v>0</v>
      </c>
      <c r="R220" s="66">
        <f t="shared" si="52"/>
        <v>0</v>
      </c>
      <c r="S220" s="61">
        <f t="shared" si="52"/>
        <v>0</v>
      </c>
      <c r="T220" s="66">
        <f t="shared" si="52"/>
        <v>0</v>
      </c>
      <c r="U220" s="66">
        <f t="shared" si="52"/>
        <v>0</v>
      </c>
      <c r="V220" s="66">
        <f t="shared" si="52"/>
        <v>0</v>
      </c>
      <c r="W220" s="61">
        <f t="shared" si="52"/>
        <v>0</v>
      </c>
      <c r="X220" s="66">
        <f t="shared" si="52"/>
        <v>0</v>
      </c>
      <c r="Y220" s="66">
        <f t="shared" si="52"/>
        <v>0</v>
      </c>
      <c r="Z220" s="66">
        <f t="shared" si="52"/>
        <v>0</v>
      </c>
      <c r="AA220" s="61">
        <f t="shared" si="52"/>
        <v>0</v>
      </c>
      <c r="AB220" s="66">
        <f t="shared" si="52"/>
        <v>0</v>
      </c>
      <c r="AC220" s="66">
        <f t="shared" si="52"/>
        <v>0</v>
      </c>
      <c r="AD220" s="66">
        <f t="shared" si="52"/>
        <v>0</v>
      </c>
      <c r="AE220" s="61">
        <f t="shared" si="52"/>
        <v>0</v>
      </c>
      <c r="AF220" s="68">
        <f t="shared" si="46"/>
        <v>0</v>
      </c>
    </row>
    <row r="221" spans="1:32" hidden="1" x14ac:dyDescent="0.35">
      <c r="A221" s="59" t="s">
        <v>313</v>
      </c>
      <c r="B221" s="54">
        <v>11</v>
      </c>
      <c r="C221" s="60" t="s">
        <v>225</v>
      </c>
      <c r="D221" s="60"/>
      <c r="E221" s="60"/>
      <c r="F221" s="60"/>
      <c r="G221" s="61">
        <f>SUM(D221:F221)</f>
        <v>0</v>
      </c>
      <c r="H221" s="60"/>
      <c r="I221" s="60"/>
      <c r="J221" s="60"/>
      <c r="K221" s="61">
        <f>SUM(H221:J221)</f>
        <v>0</v>
      </c>
      <c r="L221" s="60"/>
      <c r="M221" s="60"/>
      <c r="N221" s="60"/>
      <c r="O221" s="61">
        <f>SUM(L221:N221)</f>
        <v>0</v>
      </c>
      <c r="P221" s="60"/>
      <c r="Q221" s="60"/>
      <c r="R221" s="60"/>
      <c r="S221" s="61">
        <f>SUM(P221:R221)</f>
        <v>0</v>
      </c>
      <c r="T221" s="60"/>
      <c r="U221" s="60"/>
      <c r="V221" s="60"/>
      <c r="W221" s="61">
        <f>SUM(T221:V221)</f>
        <v>0</v>
      </c>
      <c r="X221" s="60"/>
      <c r="Y221" s="60"/>
      <c r="Z221" s="60"/>
      <c r="AA221" s="61">
        <f>SUM(X221:Z221)</f>
        <v>0</v>
      </c>
      <c r="AB221" s="60"/>
      <c r="AC221" s="60"/>
      <c r="AD221" s="60"/>
      <c r="AE221" s="61">
        <f>SUM(AB221:AD221)</f>
        <v>0</v>
      </c>
      <c r="AF221" s="68">
        <f t="shared" si="46"/>
        <v>0</v>
      </c>
    </row>
    <row r="222" spans="1:32" hidden="1" x14ac:dyDescent="0.35">
      <c r="A222" s="111" t="s">
        <v>300</v>
      </c>
      <c r="B222" s="54"/>
      <c r="C222" s="63" t="s">
        <v>227</v>
      </c>
      <c r="D222" s="63"/>
      <c r="E222" s="63"/>
      <c r="F222" s="63"/>
      <c r="G222" s="61">
        <f>SUM(D222:F222)</f>
        <v>0</v>
      </c>
      <c r="H222" s="63"/>
      <c r="I222" s="63"/>
      <c r="J222" s="63"/>
      <c r="K222" s="61">
        <f>SUM(H222:J222)</f>
        <v>0</v>
      </c>
      <c r="L222" s="63"/>
      <c r="M222" s="63"/>
      <c r="N222" s="63"/>
      <c r="O222" s="61">
        <f>SUM(L222:N222)</f>
        <v>0</v>
      </c>
      <c r="P222" s="63"/>
      <c r="Q222" s="63"/>
      <c r="R222" s="63"/>
      <c r="S222" s="61">
        <f>SUM(P222:R222)</f>
        <v>0</v>
      </c>
      <c r="T222" s="63"/>
      <c r="U222" s="63"/>
      <c r="V222" s="63"/>
      <c r="W222" s="61">
        <f>SUM(T222:V222)</f>
        <v>0</v>
      </c>
      <c r="X222" s="63"/>
      <c r="Y222" s="63"/>
      <c r="Z222" s="63"/>
      <c r="AA222" s="61">
        <f>SUM(X222:Z222)</f>
        <v>0</v>
      </c>
      <c r="AB222" s="63"/>
      <c r="AC222" s="63"/>
      <c r="AD222" s="63"/>
      <c r="AE222" s="61">
        <f>SUM(AB222:AD222)</f>
        <v>0</v>
      </c>
      <c r="AF222" s="68">
        <f t="shared" si="46"/>
        <v>0</v>
      </c>
    </row>
    <row r="223" spans="1:32" hidden="1" x14ac:dyDescent="0.35">
      <c r="A223" s="111"/>
      <c r="B223" s="54"/>
      <c r="C223" s="60" t="s">
        <v>228</v>
      </c>
      <c r="D223" s="60"/>
      <c r="E223" s="60"/>
      <c r="F223" s="60"/>
      <c r="G223" s="61">
        <f>SUM(D223:F223)</f>
        <v>0</v>
      </c>
      <c r="H223" s="60"/>
      <c r="I223" s="60"/>
      <c r="J223" s="60"/>
      <c r="K223" s="61">
        <f>SUM(H223:J223)</f>
        <v>0</v>
      </c>
      <c r="L223" s="60"/>
      <c r="M223" s="60"/>
      <c r="N223" s="60"/>
      <c r="O223" s="61">
        <f>SUM(L223:N223)</f>
        <v>0</v>
      </c>
      <c r="P223" s="60"/>
      <c r="Q223" s="60"/>
      <c r="R223" s="60"/>
      <c r="S223" s="61">
        <f>SUM(P223:R223)</f>
        <v>0</v>
      </c>
      <c r="T223" s="60"/>
      <c r="U223" s="60"/>
      <c r="V223" s="60"/>
      <c r="W223" s="61">
        <f>SUM(T223:V223)</f>
        <v>0</v>
      </c>
      <c r="X223" s="60"/>
      <c r="Y223" s="60"/>
      <c r="Z223" s="60"/>
      <c r="AA223" s="61">
        <f>SUM(X223:Z223)</f>
        <v>0</v>
      </c>
      <c r="AB223" s="60"/>
      <c r="AC223" s="60"/>
      <c r="AD223" s="60"/>
      <c r="AE223" s="61">
        <f>SUM(AB223:AD223)</f>
        <v>0</v>
      </c>
      <c r="AF223" s="68">
        <f t="shared" si="46"/>
        <v>0</v>
      </c>
    </row>
    <row r="224" spans="1:32" hidden="1" x14ac:dyDescent="0.35">
      <c r="A224" s="111"/>
      <c r="B224" s="54"/>
      <c r="C224" s="63" t="s">
        <v>235</v>
      </c>
      <c r="D224" s="63"/>
      <c r="E224" s="63"/>
      <c r="F224" s="63"/>
      <c r="G224" s="61">
        <f>SUM(D224:F224)</f>
        <v>0</v>
      </c>
      <c r="H224" s="63"/>
      <c r="I224" s="63"/>
      <c r="J224" s="63"/>
      <c r="K224" s="61">
        <f>SUM(H224:J224)</f>
        <v>0</v>
      </c>
      <c r="L224" s="63"/>
      <c r="M224" s="63"/>
      <c r="N224" s="63"/>
      <c r="O224" s="61">
        <f>SUM(L224:N224)</f>
        <v>0</v>
      </c>
      <c r="P224" s="63"/>
      <c r="Q224" s="63"/>
      <c r="R224" s="63"/>
      <c r="S224" s="61">
        <f>SUM(P224:R224)</f>
        <v>0</v>
      </c>
      <c r="T224" s="63"/>
      <c r="U224" s="63"/>
      <c r="V224" s="63"/>
      <c r="W224" s="61">
        <f>SUM(T224:V224)</f>
        <v>0</v>
      </c>
      <c r="X224" s="63"/>
      <c r="Y224" s="63"/>
      <c r="Z224" s="63"/>
      <c r="AA224" s="61">
        <f>SUM(X224:Z224)</f>
        <v>0</v>
      </c>
      <c r="AB224" s="63"/>
      <c r="AC224" s="63"/>
      <c r="AD224" s="63"/>
      <c r="AE224" s="61">
        <f>SUM(AB224:AD224)</f>
        <v>0</v>
      </c>
      <c r="AF224" s="68">
        <f t="shared" si="46"/>
        <v>0</v>
      </c>
    </row>
    <row r="225" spans="1:32" x14ac:dyDescent="0.35">
      <c r="A225" s="66" t="s">
        <v>313</v>
      </c>
      <c r="B225" s="67">
        <v>11</v>
      </c>
      <c r="C225" s="66"/>
      <c r="D225" s="66">
        <f t="shared" ref="D225:AE225" si="53">SUM(D221:D224)</f>
        <v>0</v>
      </c>
      <c r="E225" s="66">
        <f t="shared" si="53"/>
        <v>0</v>
      </c>
      <c r="F225" s="66">
        <f t="shared" si="53"/>
        <v>0</v>
      </c>
      <c r="G225" s="61">
        <f t="shared" si="53"/>
        <v>0</v>
      </c>
      <c r="H225" s="66">
        <f t="shared" si="53"/>
        <v>0</v>
      </c>
      <c r="I225" s="66">
        <f t="shared" si="53"/>
        <v>0</v>
      </c>
      <c r="J225" s="66">
        <f t="shared" si="53"/>
        <v>0</v>
      </c>
      <c r="K225" s="61">
        <f t="shared" si="53"/>
        <v>0</v>
      </c>
      <c r="L225" s="66">
        <f t="shared" si="53"/>
        <v>0</v>
      </c>
      <c r="M225" s="66">
        <f t="shared" si="53"/>
        <v>0</v>
      </c>
      <c r="N225" s="66">
        <f t="shared" si="53"/>
        <v>0</v>
      </c>
      <c r="O225" s="61">
        <f t="shared" si="53"/>
        <v>0</v>
      </c>
      <c r="P225" s="66">
        <f t="shared" si="53"/>
        <v>0</v>
      </c>
      <c r="Q225" s="66">
        <f t="shared" si="53"/>
        <v>0</v>
      </c>
      <c r="R225" s="66">
        <f t="shared" si="53"/>
        <v>0</v>
      </c>
      <c r="S225" s="61">
        <f t="shared" si="53"/>
        <v>0</v>
      </c>
      <c r="T225" s="66">
        <f t="shared" si="53"/>
        <v>0</v>
      </c>
      <c r="U225" s="66">
        <f t="shared" si="53"/>
        <v>0</v>
      </c>
      <c r="V225" s="66">
        <f t="shared" si="53"/>
        <v>0</v>
      </c>
      <c r="W225" s="61">
        <f t="shared" si="53"/>
        <v>0</v>
      </c>
      <c r="X225" s="66">
        <f t="shared" si="53"/>
        <v>0</v>
      </c>
      <c r="Y225" s="66">
        <f t="shared" si="53"/>
        <v>0</v>
      </c>
      <c r="Z225" s="66">
        <f t="shared" si="53"/>
        <v>0</v>
      </c>
      <c r="AA225" s="61">
        <f t="shared" si="53"/>
        <v>0</v>
      </c>
      <c r="AB225" s="66">
        <f t="shared" si="53"/>
        <v>0</v>
      </c>
      <c r="AC225" s="66">
        <f t="shared" si="53"/>
        <v>0</v>
      </c>
      <c r="AD225" s="66">
        <f t="shared" si="53"/>
        <v>0</v>
      </c>
      <c r="AE225" s="61">
        <f t="shared" si="53"/>
        <v>0</v>
      </c>
      <c r="AF225" s="68">
        <f t="shared" si="46"/>
        <v>0</v>
      </c>
    </row>
    <row r="226" spans="1:32" hidden="1" x14ac:dyDescent="0.35">
      <c r="A226" s="59" t="s">
        <v>314</v>
      </c>
      <c r="B226" s="54">
        <v>8</v>
      </c>
      <c r="C226" s="60" t="s">
        <v>225</v>
      </c>
      <c r="D226" s="60"/>
      <c r="E226" s="60"/>
      <c r="F226" s="60"/>
      <c r="G226" s="61">
        <f>SUM(D226:F226)</f>
        <v>0</v>
      </c>
      <c r="H226" s="60"/>
      <c r="I226" s="60"/>
      <c r="J226" s="60"/>
      <c r="K226" s="61">
        <f>SUM(H226:J226)</f>
        <v>0</v>
      </c>
      <c r="L226" s="60"/>
      <c r="M226" s="60"/>
      <c r="N226" s="60"/>
      <c r="O226" s="61">
        <f>SUM(L226:N226)</f>
        <v>0</v>
      </c>
      <c r="P226" s="60"/>
      <c r="Q226" s="60"/>
      <c r="R226" s="60"/>
      <c r="S226" s="61">
        <f>SUM(P226:R226)</f>
        <v>0</v>
      </c>
      <c r="T226" s="60">
        <v>4</v>
      </c>
      <c r="U226" s="60"/>
      <c r="V226" s="60"/>
      <c r="W226" s="61">
        <f>SUM(T226:V226)</f>
        <v>4</v>
      </c>
      <c r="X226" s="60"/>
      <c r="Y226" s="60"/>
      <c r="Z226" s="60"/>
      <c r="AA226" s="61">
        <f>SUM(X226:Z226)</f>
        <v>0</v>
      </c>
      <c r="AB226" s="60"/>
      <c r="AC226" s="60"/>
      <c r="AD226" s="60"/>
      <c r="AE226" s="61">
        <f>SUM(AB226:AD226)</f>
        <v>0</v>
      </c>
      <c r="AF226" s="68">
        <f t="shared" si="46"/>
        <v>4</v>
      </c>
    </row>
    <row r="227" spans="1:32" hidden="1" x14ac:dyDescent="0.35">
      <c r="A227" s="111" t="s">
        <v>296</v>
      </c>
      <c r="B227" s="54"/>
      <c r="C227" s="63" t="s">
        <v>227</v>
      </c>
      <c r="D227" s="63"/>
      <c r="E227" s="63"/>
      <c r="F227" s="63"/>
      <c r="G227" s="61">
        <f>SUM(D227:F227)</f>
        <v>0</v>
      </c>
      <c r="H227" s="63"/>
      <c r="I227" s="63"/>
      <c r="J227" s="63"/>
      <c r="K227" s="61">
        <f>SUM(H227:J227)</f>
        <v>0</v>
      </c>
      <c r="L227" s="63"/>
      <c r="M227" s="63"/>
      <c r="N227" s="63"/>
      <c r="O227" s="61">
        <f>SUM(L227:N227)</f>
        <v>0</v>
      </c>
      <c r="P227" s="63"/>
      <c r="Q227" s="63"/>
      <c r="R227" s="63"/>
      <c r="S227" s="61">
        <f>SUM(P227:R227)</f>
        <v>0</v>
      </c>
      <c r="T227" s="63"/>
      <c r="U227" s="63"/>
      <c r="V227" s="63"/>
      <c r="W227" s="61">
        <f>SUM(T227:V227)</f>
        <v>0</v>
      </c>
      <c r="X227" s="63">
        <v>4</v>
      </c>
      <c r="Y227" s="63"/>
      <c r="Z227" s="63"/>
      <c r="AA227" s="61">
        <f>SUM(X227:Z227)</f>
        <v>4</v>
      </c>
      <c r="AB227" s="63"/>
      <c r="AC227" s="63"/>
      <c r="AD227" s="63"/>
      <c r="AE227" s="61">
        <f>SUM(AB227:AD227)</f>
        <v>0</v>
      </c>
      <c r="AF227" s="68">
        <f t="shared" si="46"/>
        <v>4</v>
      </c>
    </row>
    <row r="228" spans="1:32" hidden="1" x14ac:dyDescent="0.35">
      <c r="A228" s="111"/>
      <c r="B228" s="54"/>
      <c r="C228" s="60" t="s">
        <v>228</v>
      </c>
      <c r="D228" s="60"/>
      <c r="E228" s="60"/>
      <c r="F228" s="60"/>
      <c r="G228" s="61">
        <f>SUM(D228:F228)</f>
        <v>0</v>
      </c>
      <c r="H228" s="60"/>
      <c r="I228" s="60"/>
      <c r="J228" s="60"/>
      <c r="K228" s="61">
        <f>SUM(H228:J228)</f>
        <v>0</v>
      </c>
      <c r="L228" s="60"/>
      <c r="M228" s="60"/>
      <c r="N228" s="60"/>
      <c r="O228" s="61">
        <f>SUM(L228:N228)</f>
        <v>0</v>
      </c>
      <c r="P228" s="60"/>
      <c r="Q228" s="60"/>
      <c r="R228" s="60"/>
      <c r="S228" s="61">
        <f>SUM(P228:R228)</f>
        <v>0</v>
      </c>
      <c r="T228" s="60"/>
      <c r="U228" s="60"/>
      <c r="V228" s="60"/>
      <c r="W228" s="61">
        <f>SUM(T228:V228)</f>
        <v>0</v>
      </c>
      <c r="X228" s="60">
        <v>2</v>
      </c>
      <c r="Y228" s="60"/>
      <c r="Z228" s="60"/>
      <c r="AA228" s="61">
        <f>SUM(X228:Z228)</f>
        <v>2</v>
      </c>
      <c r="AB228" s="60"/>
      <c r="AC228" s="60"/>
      <c r="AD228" s="60"/>
      <c r="AE228" s="61">
        <f>SUM(AB228:AD228)</f>
        <v>0</v>
      </c>
      <c r="AF228" s="68">
        <f t="shared" si="46"/>
        <v>2</v>
      </c>
    </row>
    <row r="229" spans="1:32" hidden="1" x14ac:dyDescent="0.35">
      <c r="A229" s="111"/>
      <c r="B229" s="54"/>
      <c r="C229" s="63" t="s">
        <v>235</v>
      </c>
      <c r="D229" s="63"/>
      <c r="E229" s="63"/>
      <c r="F229" s="63"/>
      <c r="G229" s="61">
        <f>SUM(D229:F229)</f>
        <v>0</v>
      </c>
      <c r="H229" s="63"/>
      <c r="I229" s="63"/>
      <c r="J229" s="63"/>
      <c r="K229" s="61">
        <f>SUM(H229:J229)</f>
        <v>0</v>
      </c>
      <c r="L229" s="63"/>
      <c r="M229" s="63"/>
      <c r="N229" s="63"/>
      <c r="O229" s="61">
        <f>SUM(L229:N229)</f>
        <v>0</v>
      </c>
      <c r="P229" s="63"/>
      <c r="Q229" s="63"/>
      <c r="R229" s="63"/>
      <c r="S229" s="61">
        <f>SUM(P229:R229)</f>
        <v>0</v>
      </c>
      <c r="T229" s="63"/>
      <c r="U229" s="63"/>
      <c r="V229" s="63"/>
      <c r="W229" s="61">
        <f>SUM(T229:V229)</f>
        <v>0</v>
      </c>
      <c r="X229" s="63">
        <v>3</v>
      </c>
      <c r="Y229" s="63"/>
      <c r="Z229" s="63"/>
      <c r="AA229" s="61">
        <f>SUM(X229:Z229)</f>
        <v>3</v>
      </c>
      <c r="AB229" s="63"/>
      <c r="AC229" s="63"/>
      <c r="AD229" s="63"/>
      <c r="AE229" s="61">
        <f>SUM(AB229:AD229)</f>
        <v>0</v>
      </c>
      <c r="AF229" s="68">
        <f t="shared" si="46"/>
        <v>3</v>
      </c>
    </row>
    <row r="230" spans="1:32" x14ac:dyDescent="0.35">
      <c r="A230" s="66" t="s">
        <v>314</v>
      </c>
      <c r="B230" s="67">
        <v>8</v>
      </c>
      <c r="C230" s="66"/>
      <c r="D230" s="66">
        <f t="shared" ref="D230:AE230" si="54">SUM(D226:D229)</f>
        <v>0</v>
      </c>
      <c r="E230" s="66">
        <f t="shared" si="54"/>
        <v>0</v>
      </c>
      <c r="F230" s="66">
        <f t="shared" si="54"/>
        <v>0</v>
      </c>
      <c r="G230" s="61">
        <f t="shared" si="54"/>
        <v>0</v>
      </c>
      <c r="H230" s="66">
        <f t="shared" si="54"/>
        <v>0</v>
      </c>
      <c r="I230" s="66">
        <f t="shared" si="54"/>
        <v>0</v>
      </c>
      <c r="J230" s="66">
        <f t="shared" si="54"/>
        <v>0</v>
      </c>
      <c r="K230" s="61">
        <f t="shared" si="54"/>
        <v>0</v>
      </c>
      <c r="L230" s="66">
        <f t="shared" si="54"/>
        <v>0</v>
      </c>
      <c r="M230" s="66">
        <f t="shared" si="54"/>
        <v>0</v>
      </c>
      <c r="N230" s="66">
        <f t="shared" si="54"/>
        <v>0</v>
      </c>
      <c r="O230" s="61">
        <f t="shared" si="54"/>
        <v>0</v>
      </c>
      <c r="P230" s="66">
        <f t="shared" si="54"/>
        <v>0</v>
      </c>
      <c r="Q230" s="66">
        <f t="shared" si="54"/>
        <v>0</v>
      </c>
      <c r="R230" s="66">
        <f t="shared" si="54"/>
        <v>0</v>
      </c>
      <c r="S230" s="61">
        <f t="shared" si="54"/>
        <v>0</v>
      </c>
      <c r="T230" s="66">
        <f t="shared" si="54"/>
        <v>4</v>
      </c>
      <c r="U230" s="66">
        <f t="shared" si="54"/>
        <v>0</v>
      </c>
      <c r="V230" s="66">
        <f t="shared" si="54"/>
        <v>0</v>
      </c>
      <c r="W230" s="61">
        <f t="shared" si="54"/>
        <v>4</v>
      </c>
      <c r="X230" s="66">
        <f t="shared" si="54"/>
        <v>9</v>
      </c>
      <c r="Y230" s="66">
        <f t="shared" si="54"/>
        <v>0</v>
      </c>
      <c r="Z230" s="66">
        <f t="shared" si="54"/>
        <v>0</v>
      </c>
      <c r="AA230" s="61">
        <f t="shared" si="54"/>
        <v>9</v>
      </c>
      <c r="AB230" s="66">
        <f t="shared" si="54"/>
        <v>0</v>
      </c>
      <c r="AC230" s="66">
        <f t="shared" si="54"/>
        <v>0</v>
      </c>
      <c r="AD230" s="66">
        <f t="shared" si="54"/>
        <v>0</v>
      </c>
      <c r="AE230" s="61">
        <f t="shared" si="54"/>
        <v>0</v>
      </c>
      <c r="AF230" s="68">
        <f t="shared" si="46"/>
        <v>13</v>
      </c>
    </row>
    <row r="231" spans="1:32" hidden="1" x14ac:dyDescent="0.35">
      <c r="A231" s="59" t="s">
        <v>315</v>
      </c>
      <c r="B231" s="54" t="s">
        <v>266</v>
      </c>
      <c r="C231" s="60" t="s">
        <v>225</v>
      </c>
      <c r="D231" s="60"/>
      <c r="E231" s="60"/>
      <c r="F231" s="60"/>
      <c r="G231" s="61">
        <f>SUM(D231:F231)</f>
        <v>0</v>
      </c>
      <c r="H231" s="60"/>
      <c r="I231" s="60"/>
      <c r="J231" s="60"/>
      <c r="K231" s="61">
        <f>SUM(H231:J231)</f>
        <v>0</v>
      </c>
      <c r="L231" s="60"/>
      <c r="M231" s="60"/>
      <c r="N231" s="60"/>
      <c r="O231" s="61">
        <f>SUM(L231:N231)</f>
        <v>0</v>
      </c>
      <c r="P231" s="60"/>
      <c r="Q231" s="60"/>
      <c r="R231" s="60"/>
      <c r="S231" s="61">
        <f>SUM(P231:R231)</f>
        <v>0</v>
      </c>
      <c r="T231" s="60">
        <v>3</v>
      </c>
      <c r="U231" s="60"/>
      <c r="V231" s="60"/>
      <c r="W231" s="61">
        <f>SUM(T231:V231)</f>
        <v>3</v>
      </c>
      <c r="X231" s="60"/>
      <c r="Y231" s="60"/>
      <c r="Z231" s="60"/>
      <c r="AA231" s="61">
        <f>SUM(X231:Z231)</f>
        <v>0</v>
      </c>
      <c r="AB231" s="60"/>
      <c r="AC231" s="60"/>
      <c r="AD231" s="60"/>
      <c r="AE231" s="61">
        <f>SUM(AB231:AD231)</f>
        <v>0</v>
      </c>
      <c r="AF231" s="68">
        <f t="shared" si="46"/>
        <v>3</v>
      </c>
    </row>
    <row r="232" spans="1:32" hidden="1" x14ac:dyDescent="0.35">
      <c r="A232" s="111" t="s">
        <v>397</v>
      </c>
      <c r="B232" s="54"/>
      <c r="C232" s="63" t="s">
        <v>227</v>
      </c>
      <c r="D232" s="63"/>
      <c r="E232" s="63"/>
      <c r="F232" s="63"/>
      <c r="G232" s="61">
        <f>SUM(D232:F232)</f>
        <v>0</v>
      </c>
      <c r="H232" s="63"/>
      <c r="I232" s="63"/>
      <c r="J232" s="63"/>
      <c r="K232" s="61">
        <f>SUM(H232:J232)</f>
        <v>0</v>
      </c>
      <c r="L232" s="63"/>
      <c r="M232" s="63"/>
      <c r="N232" s="63"/>
      <c r="O232" s="61">
        <f>SUM(L232:N232)</f>
        <v>0</v>
      </c>
      <c r="P232" s="63"/>
      <c r="Q232" s="63"/>
      <c r="R232" s="63"/>
      <c r="S232" s="61">
        <f>SUM(P232:R232)</f>
        <v>0</v>
      </c>
      <c r="T232" s="63"/>
      <c r="U232" s="63"/>
      <c r="V232" s="63"/>
      <c r="W232" s="61">
        <f>SUM(T232:V232)</f>
        <v>0</v>
      </c>
      <c r="X232" s="63"/>
      <c r="Y232" s="63"/>
      <c r="Z232" s="63"/>
      <c r="AA232" s="61">
        <f>SUM(X232:Z232)</f>
        <v>0</v>
      </c>
      <c r="AB232" s="63"/>
      <c r="AC232" s="63"/>
      <c r="AD232" s="63"/>
      <c r="AE232" s="61">
        <f>SUM(AB232:AD232)</f>
        <v>0</v>
      </c>
      <c r="AF232" s="68">
        <f t="shared" si="46"/>
        <v>0</v>
      </c>
    </row>
    <row r="233" spans="1:32" hidden="1" x14ac:dyDescent="0.35">
      <c r="A233" s="111"/>
      <c r="B233" s="54"/>
      <c r="C233" s="60" t="s">
        <v>228</v>
      </c>
      <c r="D233" s="60"/>
      <c r="E233" s="60"/>
      <c r="F233" s="60"/>
      <c r="G233" s="61">
        <f>SUM(D233:F233)</f>
        <v>0</v>
      </c>
      <c r="H233" s="60"/>
      <c r="I233" s="60"/>
      <c r="J233" s="60"/>
      <c r="K233" s="61">
        <f>SUM(H233:J233)</f>
        <v>0</v>
      </c>
      <c r="L233" s="60"/>
      <c r="M233" s="60"/>
      <c r="N233" s="60"/>
      <c r="O233" s="61">
        <f>SUM(L233:N233)</f>
        <v>0</v>
      </c>
      <c r="P233" s="60"/>
      <c r="Q233" s="60"/>
      <c r="R233" s="60"/>
      <c r="S233" s="61">
        <f>SUM(P233:R233)</f>
        <v>0</v>
      </c>
      <c r="T233" s="60"/>
      <c r="U233" s="60"/>
      <c r="V233" s="60"/>
      <c r="W233" s="61">
        <f>SUM(T233:V233)</f>
        <v>0</v>
      </c>
      <c r="X233" s="60"/>
      <c r="Y233" s="60"/>
      <c r="Z233" s="60"/>
      <c r="AA233" s="61">
        <f>SUM(X233:Z233)</f>
        <v>0</v>
      </c>
      <c r="AB233" s="60"/>
      <c r="AC233" s="60"/>
      <c r="AD233" s="60"/>
      <c r="AE233" s="61">
        <f>SUM(AB233:AD233)</f>
        <v>0</v>
      </c>
      <c r="AF233" s="68">
        <f t="shared" si="46"/>
        <v>0</v>
      </c>
    </row>
    <row r="234" spans="1:32" hidden="1" x14ac:dyDescent="0.35">
      <c r="A234" s="111"/>
      <c r="B234" s="54"/>
      <c r="C234" s="63" t="s">
        <v>235</v>
      </c>
      <c r="D234" s="63"/>
      <c r="E234" s="63"/>
      <c r="F234" s="63"/>
      <c r="G234" s="61">
        <f>SUM(D234:F234)</f>
        <v>0</v>
      </c>
      <c r="H234" s="63"/>
      <c r="I234" s="63"/>
      <c r="J234" s="63"/>
      <c r="K234" s="61">
        <f>SUM(H234:J234)</f>
        <v>0</v>
      </c>
      <c r="L234" s="63"/>
      <c r="M234" s="63"/>
      <c r="N234" s="63"/>
      <c r="O234" s="61">
        <f>SUM(L234:N234)</f>
        <v>0</v>
      </c>
      <c r="P234" s="63"/>
      <c r="Q234" s="63"/>
      <c r="R234" s="63"/>
      <c r="S234" s="61">
        <f>SUM(P234:R234)</f>
        <v>0</v>
      </c>
      <c r="T234" s="63"/>
      <c r="U234" s="63"/>
      <c r="V234" s="63"/>
      <c r="W234" s="61">
        <f>SUM(T234:V234)</f>
        <v>0</v>
      </c>
      <c r="X234" s="63"/>
      <c r="Y234" s="63"/>
      <c r="Z234" s="63"/>
      <c r="AA234" s="61">
        <f>SUM(X234:Z234)</f>
        <v>0</v>
      </c>
      <c r="AB234" s="63"/>
      <c r="AC234" s="63"/>
      <c r="AD234" s="63"/>
      <c r="AE234" s="61">
        <f>SUM(AB234:AD234)</f>
        <v>0</v>
      </c>
      <c r="AF234" s="68">
        <f t="shared" si="46"/>
        <v>0</v>
      </c>
    </row>
    <row r="235" spans="1:32" x14ac:dyDescent="0.35">
      <c r="A235" s="66" t="s">
        <v>315</v>
      </c>
      <c r="B235" s="67" t="s">
        <v>266</v>
      </c>
      <c r="C235" s="66"/>
      <c r="D235" s="66">
        <f t="shared" ref="D235:AE235" si="55">SUM(D231:D234)</f>
        <v>0</v>
      </c>
      <c r="E235" s="66">
        <f t="shared" si="55"/>
        <v>0</v>
      </c>
      <c r="F235" s="66">
        <f t="shared" si="55"/>
        <v>0</v>
      </c>
      <c r="G235" s="61">
        <f t="shared" si="55"/>
        <v>0</v>
      </c>
      <c r="H235" s="66">
        <f t="shared" si="55"/>
        <v>0</v>
      </c>
      <c r="I235" s="66">
        <f t="shared" si="55"/>
        <v>0</v>
      </c>
      <c r="J235" s="66">
        <f t="shared" si="55"/>
        <v>0</v>
      </c>
      <c r="K235" s="61">
        <f t="shared" si="55"/>
        <v>0</v>
      </c>
      <c r="L235" s="66">
        <f t="shared" si="55"/>
        <v>0</v>
      </c>
      <c r="M235" s="66">
        <f t="shared" si="55"/>
        <v>0</v>
      </c>
      <c r="N235" s="66">
        <f t="shared" si="55"/>
        <v>0</v>
      </c>
      <c r="O235" s="61">
        <f t="shared" si="55"/>
        <v>0</v>
      </c>
      <c r="P235" s="66">
        <f t="shared" si="55"/>
        <v>0</v>
      </c>
      <c r="Q235" s="66">
        <f t="shared" si="55"/>
        <v>0</v>
      </c>
      <c r="R235" s="66">
        <f t="shared" si="55"/>
        <v>0</v>
      </c>
      <c r="S235" s="61">
        <f t="shared" si="55"/>
        <v>0</v>
      </c>
      <c r="T235" s="66">
        <f t="shared" si="55"/>
        <v>3</v>
      </c>
      <c r="U235" s="66">
        <f t="shared" si="55"/>
        <v>0</v>
      </c>
      <c r="V235" s="66">
        <f t="shared" si="55"/>
        <v>0</v>
      </c>
      <c r="W235" s="61">
        <f t="shared" si="55"/>
        <v>3</v>
      </c>
      <c r="X235" s="66">
        <f t="shared" si="55"/>
        <v>0</v>
      </c>
      <c r="Y235" s="66">
        <f t="shared" si="55"/>
        <v>0</v>
      </c>
      <c r="Z235" s="66">
        <f t="shared" si="55"/>
        <v>0</v>
      </c>
      <c r="AA235" s="61">
        <f t="shared" si="55"/>
        <v>0</v>
      </c>
      <c r="AB235" s="66">
        <f t="shared" si="55"/>
        <v>0</v>
      </c>
      <c r="AC235" s="66">
        <f t="shared" si="55"/>
        <v>0</v>
      </c>
      <c r="AD235" s="66">
        <f t="shared" si="55"/>
        <v>0</v>
      </c>
      <c r="AE235" s="61">
        <f t="shared" si="55"/>
        <v>0</v>
      </c>
      <c r="AF235" s="68">
        <f t="shared" si="46"/>
        <v>3</v>
      </c>
    </row>
    <row r="236" spans="1:32" hidden="1" x14ac:dyDescent="0.35">
      <c r="A236" s="59" t="s">
        <v>316</v>
      </c>
      <c r="B236" s="54">
        <v>30</v>
      </c>
      <c r="C236" s="60" t="s">
        <v>225</v>
      </c>
      <c r="D236" s="60"/>
      <c r="E236" s="60"/>
      <c r="F236" s="60"/>
      <c r="G236" s="61">
        <f>SUM(D236:F236)</f>
        <v>0</v>
      </c>
      <c r="H236" s="60"/>
      <c r="I236" s="60"/>
      <c r="J236" s="60"/>
      <c r="K236" s="61">
        <f>SUM(H236:J236)</f>
        <v>0</v>
      </c>
      <c r="L236" s="60"/>
      <c r="M236" s="60"/>
      <c r="N236" s="60"/>
      <c r="O236" s="61">
        <f>SUM(L236:N236)</f>
        <v>0</v>
      </c>
      <c r="P236" s="60"/>
      <c r="Q236" s="60"/>
      <c r="R236" s="60"/>
      <c r="S236" s="61">
        <f>SUM(P236:R236)</f>
        <v>0</v>
      </c>
      <c r="T236" s="60"/>
      <c r="U236" s="60"/>
      <c r="V236" s="60"/>
      <c r="W236" s="61">
        <f>SUM(T236:V236)</f>
        <v>0</v>
      </c>
      <c r="X236" s="60"/>
      <c r="Y236" s="60"/>
      <c r="Z236" s="60"/>
      <c r="AA236" s="61">
        <f>SUM(X236:Z236)</f>
        <v>0</v>
      </c>
      <c r="AB236" s="60"/>
      <c r="AC236" s="60"/>
      <c r="AD236" s="60"/>
      <c r="AE236" s="61">
        <f>SUM(AB236:AD236)</f>
        <v>0</v>
      </c>
      <c r="AF236" s="68">
        <f t="shared" si="46"/>
        <v>0</v>
      </c>
    </row>
    <row r="237" spans="1:32" hidden="1" x14ac:dyDescent="0.35">
      <c r="A237" s="111" t="s">
        <v>263</v>
      </c>
      <c r="B237" s="54"/>
      <c r="C237" s="63" t="s">
        <v>227</v>
      </c>
      <c r="D237" s="63"/>
      <c r="E237" s="63"/>
      <c r="F237" s="63"/>
      <c r="G237" s="61">
        <f>SUM(D237:F237)</f>
        <v>0</v>
      </c>
      <c r="H237" s="63"/>
      <c r="I237" s="63"/>
      <c r="J237" s="63"/>
      <c r="K237" s="61">
        <f>SUM(H237:J237)</f>
        <v>0</v>
      </c>
      <c r="L237" s="63"/>
      <c r="M237" s="63"/>
      <c r="N237" s="63"/>
      <c r="O237" s="61">
        <f>SUM(L237:N237)</f>
        <v>0</v>
      </c>
      <c r="P237" s="63"/>
      <c r="Q237" s="63"/>
      <c r="R237" s="63"/>
      <c r="S237" s="61">
        <f>SUM(P237:R237)</f>
        <v>0</v>
      </c>
      <c r="T237" s="63"/>
      <c r="U237" s="63"/>
      <c r="V237" s="63"/>
      <c r="W237" s="61">
        <f>SUM(T237:V237)</f>
        <v>0</v>
      </c>
      <c r="X237" s="63"/>
      <c r="Y237" s="63"/>
      <c r="Z237" s="63"/>
      <c r="AA237" s="61">
        <f>SUM(X237:Z237)</f>
        <v>0</v>
      </c>
      <c r="AB237" s="63"/>
      <c r="AC237" s="63"/>
      <c r="AD237" s="63"/>
      <c r="AE237" s="61">
        <f>SUM(AB237:AD237)</f>
        <v>0</v>
      </c>
      <c r="AF237" s="68">
        <f t="shared" si="46"/>
        <v>0</v>
      </c>
    </row>
    <row r="238" spans="1:32" hidden="1" x14ac:dyDescent="0.35">
      <c r="A238" s="111"/>
      <c r="B238" s="54"/>
      <c r="C238" s="60" t="s">
        <v>228</v>
      </c>
      <c r="D238" s="60"/>
      <c r="E238" s="60"/>
      <c r="F238" s="60"/>
      <c r="G238" s="61">
        <f>SUM(D238:F238)</f>
        <v>0</v>
      </c>
      <c r="H238" s="60"/>
      <c r="I238" s="60"/>
      <c r="J238" s="60"/>
      <c r="K238" s="61">
        <f>SUM(H238:J238)</f>
        <v>0</v>
      </c>
      <c r="L238" s="60"/>
      <c r="M238" s="60"/>
      <c r="N238" s="60"/>
      <c r="O238" s="61">
        <f>SUM(L238:N238)</f>
        <v>0</v>
      </c>
      <c r="P238" s="60"/>
      <c r="Q238" s="60"/>
      <c r="R238" s="60"/>
      <c r="S238" s="61">
        <f>SUM(P238:R238)</f>
        <v>0</v>
      </c>
      <c r="T238" s="60"/>
      <c r="U238" s="60"/>
      <c r="V238" s="60"/>
      <c r="W238" s="61">
        <f>SUM(T238:V238)</f>
        <v>0</v>
      </c>
      <c r="X238" s="60"/>
      <c r="Y238" s="60"/>
      <c r="Z238" s="60"/>
      <c r="AA238" s="61">
        <f>SUM(X238:Z238)</f>
        <v>0</v>
      </c>
      <c r="AB238" s="60"/>
      <c r="AC238" s="60">
        <v>1</v>
      </c>
      <c r="AD238" s="60"/>
      <c r="AE238" s="61">
        <f>SUM(AB238:AD238)</f>
        <v>1</v>
      </c>
      <c r="AF238" s="68">
        <f t="shared" si="46"/>
        <v>1</v>
      </c>
    </row>
    <row r="239" spans="1:32" hidden="1" x14ac:dyDescent="0.35">
      <c r="A239" s="111"/>
      <c r="B239" s="54"/>
      <c r="C239" s="63" t="s">
        <v>235</v>
      </c>
      <c r="D239" s="63"/>
      <c r="E239" s="63"/>
      <c r="F239" s="63"/>
      <c r="G239" s="61">
        <f>SUM(D239:F239)</f>
        <v>0</v>
      </c>
      <c r="H239" s="63"/>
      <c r="I239" s="63"/>
      <c r="J239" s="63"/>
      <c r="K239" s="61">
        <f>SUM(H239:J239)</f>
        <v>0</v>
      </c>
      <c r="L239" s="63"/>
      <c r="M239" s="63"/>
      <c r="N239" s="63"/>
      <c r="O239" s="61">
        <f>SUM(L239:N239)</f>
        <v>0</v>
      </c>
      <c r="P239" s="63"/>
      <c r="Q239" s="63"/>
      <c r="R239" s="63"/>
      <c r="S239" s="61">
        <f>SUM(P239:R239)</f>
        <v>0</v>
      </c>
      <c r="T239" s="63">
        <v>3</v>
      </c>
      <c r="U239" s="63"/>
      <c r="V239" s="63"/>
      <c r="W239" s="61">
        <f>SUM(T239:V239)</f>
        <v>3</v>
      </c>
      <c r="X239" s="63"/>
      <c r="Y239" s="63"/>
      <c r="Z239" s="63"/>
      <c r="AA239" s="61">
        <f>SUM(X239:Z239)</f>
        <v>0</v>
      </c>
      <c r="AB239" s="63"/>
      <c r="AC239" s="63"/>
      <c r="AD239" s="63"/>
      <c r="AE239" s="61">
        <f>SUM(AB239:AD239)</f>
        <v>0</v>
      </c>
      <c r="AF239" s="68">
        <f t="shared" si="46"/>
        <v>3</v>
      </c>
    </row>
    <row r="240" spans="1:32" x14ac:dyDescent="0.35">
      <c r="A240" s="66" t="s">
        <v>316</v>
      </c>
      <c r="B240" s="67">
        <v>30</v>
      </c>
      <c r="C240" s="66"/>
      <c r="D240" s="66">
        <f t="shared" ref="D240:AE240" si="56">SUM(D236:D239)</f>
        <v>0</v>
      </c>
      <c r="E240" s="66">
        <f t="shared" si="56"/>
        <v>0</v>
      </c>
      <c r="F240" s="66">
        <f t="shared" si="56"/>
        <v>0</v>
      </c>
      <c r="G240" s="61">
        <f t="shared" si="56"/>
        <v>0</v>
      </c>
      <c r="H240" s="66">
        <f t="shared" si="56"/>
        <v>0</v>
      </c>
      <c r="I240" s="66">
        <f t="shared" si="56"/>
        <v>0</v>
      </c>
      <c r="J240" s="66">
        <f t="shared" si="56"/>
        <v>0</v>
      </c>
      <c r="K240" s="61">
        <f t="shared" si="56"/>
        <v>0</v>
      </c>
      <c r="L240" s="66">
        <f t="shared" si="56"/>
        <v>0</v>
      </c>
      <c r="M240" s="66">
        <f t="shared" si="56"/>
        <v>0</v>
      </c>
      <c r="N240" s="66">
        <f t="shared" si="56"/>
        <v>0</v>
      </c>
      <c r="O240" s="61">
        <f t="shared" si="56"/>
        <v>0</v>
      </c>
      <c r="P240" s="66">
        <f t="shared" si="56"/>
        <v>0</v>
      </c>
      <c r="Q240" s="66">
        <f t="shared" si="56"/>
        <v>0</v>
      </c>
      <c r="R240" s="66">
        <f t="shared" si="56"/>
        <v>0</v>
      </c>
      <c r="S240" s="61">
        <f t="shared" si="56"/>
        <v>0</v>
      </c>
      <c r="T240" s="66">
        <f t="shared" si="56"/>
        <v>3</v>
      </c>
      <c r="U240" s="66">
        <f t="shared" si="56"/>
        <v>0</v>
      </c>
      <c r="V240" s="66">
        <f t="shared" si="56"/>
        <v>0</v>
      </c>
      <c r="W240" s="61">
        <f t="shared" si="56"/>
        <v>3</v>
      </c>
      <c r="X240" s="66">
        <f t="shared" si="56"/>
        <v>0</v>
      </c>
      <c r="Y240" s="66">
        <f t="shared" si="56"/>
        <v>0</v>
      </c>
      <c r="Z240" s="66">
        <f t="shared" si="56"/>
        <v>0</v>
      </c>
      <c r="AA240" s="61">
        <f t="shared" si="56"/>
        <v>0</v>
      </c>
      <c r="AB240" s="66">
        <f t="shared" si="56"/>
        <v>0</v>
      </c>
      <c r="AC240" s="66">
        <f t="shared" si="56"/>
        <v>1</v>
      </c>
      <c r="AD240" s="66">
        <f t="shared" si="56"/>
        <v>0</v>
      </c>
      <c r="AE240" s="61">
        <f t="shared" si="56"/>
        <v>1</v>
      </c>
      <c r="AF240" s="68">
        <f t="shared" si="46"/>
        <v>4</v>
      </c>
    </row>
    <row r="241" spans="1:32" hidden="1" x14ac:dyDescent="0.35">
      <c r="A241" s="59" t="s">
        <v>317</v>
      </c>
      <c r="B241" s="54">
        <v>24</v>
      </c>
      <c r="C241" s="60" t="s">
        <v>225</v>
      </c>
      <c r="D241" s="60"/>
      <c r="E241" s="60"/>
      <c r="F241" s="60"/>
      <c r="G241" s="61">
        <f>SUM(D241:F241)</f>
        <v>0</v>
      </c>
      <c r="H241" s="60"/>
      <c r="I241" s="60"/>
      <c r="J241" s="60"/>
      <c r="K241" s="61">
        <f>SUM(H241:J241)</f>
        <v>0</v>
      </c>
      <c r="L241" s="60"/>
      <c r="M241" s="60"/>
      <c r="N241" s="60"/>
      <c r="O241" s="61">
        <f>SUM(L241:N241)</f>
        <v>0</v>
      </c>
      <c r="P241" s="60"/>
      <c r="Q241" s="60"/>
      <c r="R241" s="60"/>
      <c r="S241" s="61">
        <f>SUM(P241:R241)</f>
        <v>0</v>
      </c>
      <c r="T241" s="60"/>
      <c r="U241" s="60"/>
      <c r="V241" s="60"/>
      <c r="W241" s="61">
        <f>SUM(T241:V241)</f>
        <v>0</v>
      </c>
      <c r="X241" s="60"/>
      <c r="Y241" s="60"/>
      <c r="Z241" s="60"/>
      <c r="AA241" s="61">
        <f>SUM(X241:Z241)</f>
        <v>0</v>
      </c>
      <c r="AB241" s="60"/>
      <c r="AC241" s="60"/>
      <c r="AD241" s="60"/>
      <c r="AE241" s="61">
        <f>SUM(AB241:AD241)</f>
        <v>0</v>
      </c>
      <c r="AF241" s="68">
        <f t="shared" si="46"/>
        <v>0</v>
      </c>
    </row>
    <row r="242" spans="1:32" hidden="1" x14ac:dyDescent="0.35">
      <c r="A242" s="111" t="s">
        <v>318</v>
      </c>
      <c r="B242" s="54"/>
      <c r="C242" s="63" t="s">
        <v>227</v>
      </c>
      <c r="D242" s="63"/>
      <c r="E242" s="63"/>
      <c r="F242" s="63"/>
      <c r="G242" s="61">
        <f>SUM(D242:F242)</f>
        <v>0</v>
      </c>
      <c r="H242" s="63"/>
      <c r="I242" s="63"/>
      <c r="J242" s="63"/>
      <c r="K242" s="61">
        <f>SUM(H242:J242)</f>
        <v>0</v>
      </c>
      <c r="L242" s="63"/>
      <c r="M242" s="63"/>
      <c r="N242" s="63"/>
      <c r="O242" s="61">
        <f>SUM(L242:N242)</f>
        <v>0</v>
      </c>
      <c r="P242" s="63"/>
      <c r="Q242" s="63"/>
      <c r="R242" s="63"/>
      <c r="S242" s="61">
        <f>SUM(P242:R242)</f>
        <v>0</v>
      </c>
      <c r="T242" s="63"/>
      <c r="U242" s="63"/>
      <c r="V242" s="63"/>
      <c r="W242" s="61">
        <f>SUM(T242:V242)</f>
        <v>0</v>
      </c>
      <c r="X242" s="63"/>
      <c r="Y242" s="63"/>
      <c r="Z242" s="63"/>
      <c r="AA242" s="61">
        <f>SUM(X242:Z242)</f>
        <v>0</v>
      </c>
      <c r="AB242" s="63"/>
      <c r="AC242" s="63"/>
      <c r="AD242" s="63"/>
      <c r="AE242" s="61">
        <f>SUM(AB242:AD242)</f>
        <v>0</v>
      </c>
      <c r="AF242" s="68">
        <f t="shared" si="46"/>
        <v>0</v>
      </c>
    </row>
    <row r="243" spans="1:32" hidden="1" x14ac:dyDescent="0.35">
      <c r="A243" s="111"/>
      <c r="B243" s="54"/>
      <c r="C243" s="60" t="s">
        <v>228</v>
      </c>
      <c r="D243" s="60"/>
      <c r="E243" s="60"/>
      <c r="F243" s="60"/>
      <c r="G243" s="61">
        <f>SUM(D243:F243)</f>
        <v>0</v>
      </c>
      <c r="H243" s="60"/>
      <c r="I243" s="60"/>
      <c r="J243" s="60"/>
      <c r="K243" s="61">
        <f>SUM(H243:J243)</f>
        <v>0</v>
      </c>
      <c r="L243" s="60"/>
      <c r="M243" s="60"/>
      <c r="N243" s="60"/>
      <c r="O243" s="61">
        <f>SUM(L243:N243)</f>
        <v>0</v>
      </c>
      <c r="P243" s="60"/>
      <c r="Q243" s="60"/>
      <c r="R243" s="60"/>
      <c r="S243" s="61">
        <f>SUM(P243:R243)</f>
        <v>0</v>
      </c>
      <c r="T243" s="60">
        <v>1</v>
      </c>
      <c r="U243" s="60"/>
      <c r="V243" s="60"/>
      <c r="W243" s="61">
        <f>SUM(T243:V243)</f>
        <v>1</v>
      </c>
      <c r="X243" s="60"/>
      <c r="Y243" s="60"/>
      <c r="Z243" s="60"/>
      <c r="AA243" s="61">
        <f>SUM(X243:Z243)</f>
        <v>0</v>
      </c>
      <c r="AB243" s="60"/>
      <c r="AC243" s="60"/>
      <c r="AD243" s="60"/>
      <c r="AE243" s="61">
        <f>SUM(AB243:AD243)</f>
        <v>0</v>
      </c>
      <c r="AF243" s="68">
        <f t="shared" si="46"/>
        <v>1</v>
      </c>
    </row>
    <row r="244" spans="1:32" hidden="1" x14ac:dyDescent="0.35">
      <c r="A244" s="111"/>
      <c r="B244" s="54"/>
      <c r="C244" s="63" t="s">
        <v>235</v>
      </c>
      <c r="D244" s="63"/>
      <c r="E244" s="63"/>
      <c r="F244" s="63"/>
      <c r="G244" s="61">
        <f>SUM(D244:F244)</f>
        <v>0</v>
      </c>
      <c r="H244" s="63"/>
      <c r="I244" s="63"/>
      <c r="J244" s="63"/>
      <c r="K244" s="61">
        <f>SUM(H244:J244)</f>
        <v>0</v>
      </c>
      <c r="L244" s="63"/>
      <c r="M244" s="63"/>
      <c r="N244" s="63"/>
      <c r="O244" s="61">
        <f>SUM(L244:N244)</f>
        <v>0</v>
      </c>
      <c r="P244" s="63"/>
      <c r="Q244" s="63"/>
      <c r="R244" s="63"/>
      <c r="S244" s="61">
        <f>SUM(P244:R244)</f>
        <v>0</v>
      </c>
      <c r="T244" s="63"/>
      <c r="U244" s="63"/>
      <c r="V244" s="63"/>
      <c r="W244" s="61">
        <f>SUM(T244:V244)</f>
        <v>0</v>
      </c>
      <c r="X244" s="63"/>
      <c r="Y244" s="63"/>
      <c r="Z244" s="63"/>
      <c r="AA244" s="61">
        <f>SUM(X244:Z244)</f>
        <v>0</v>
      </c>
      <c r="AB244" s="63"/>
      <c r="AC244" s="63"/>
      <c r="AD244" s="63"/>
      <c r="AE244" s="61">
        <f>SUM(AB244:AD244)</f>
        <v>0</v>
      </c>
      <c r="AF244" s="68">
        <f t="shared" si="46"/>
        <v>0</v>
      </c>
    </row>
    <row r="245" spans="1:32" x14ac:dyDescent="0.35">
      <c r="A245" s="66" t="s">
        <v>317</v>
      </c>
      <c r="B245" s="67">
        <v>24</v>
      </c>
      <c r="C245" s="66"/>
      <c r="D245" s="66">
        <f t="shared" ref="D245:AE245" si="57">SUM(D241:D244)</f>
        <v>0</v>
      </c>
      <c r="E245" s="66">
        <f t="shared" si="57"/>
        <v>0</v>
      </c>
      <c r="F245" s="66">
        <f t="shared" si="57"/>
        <v>0</v>
      </c>
      <c r="G245" s="61">
        <f t="shared" si="57"/>
        <v>0</v>
      </c>
      <c r="H245" s="66">
        <f t="shared" si="57"/>
        <v>0</v>
      </c>
      <c r="I245" s="66">
        <f t="shared" si="57"/>
        <v>0</v>
      </c>
      <c r="J245" s="66">
        <f t="shared" si="57"/>
        <v>0</v>
      </c>
      <c r="K245" s="61">
        <f t="shared" si="57"/>
        <v>0</v>
      </c>
      <c r="L245" s="66">
        <f t="shared" si="57"/>
        <v>0</v>
      </c>
      <c r="M245" s="66">
        <f t="shared" si="57"/>
        <v>0</v>
      </c>
      <c r="N245" s="66">
        <f t="shared" si="57"/>
        <v>0</v>
      </c>
      <c r="O245" s="61">
        <f t="shared" si="57"/>
        <v>0</v>
      </c>
      <c r="P245" s="66">
        <f t="shared" si="57"/>
        <v>0</v>
      </c>
      <c r="Q245" s="66">
        <f t="shared" si="57"/>
        <v>0</v>
      </c>
      <c r="R245" s="66">
        <f t="shared" si="57"/>
        <v>0</v>
      </c>
      <c r="S245" s="61">
        <f t="shared" si="57"/>
        <v>0</v>
      </c>
      <c r="T245" s="66">
        <f t="shared" si="57"/>
        <v>1</v>
      </c>
      <c r="U245" s="66">
        <f t="shared" si="57"/>
        <v>0</v>
      </c>
      <c r="V245" s="66">
        <f t="shared" si="57"/>
        <v>0</v>
      </c>
      <c r="W245" s="61">
        <f t="shared" si="57"/>
        <v>1</v>
      </c>
      <c r="X245" s="66">
        <f t="shared" si="57"/>
        <v>0</v>
      </c>
      <c r="Y245" s="66">
        <f t="shared" si="57"/>
        <v>0</v>
      </c>
      <c r="Z245" s="66">
        <f t="shared" si="57"/>
        <v>0</v>
      </c>
      <c r="AA245" s="61">
        <f t="shared" si="57"/>
        <v>0</v>
      </c>
      <c r="AB245" s="66">
        <f t="shared" si="57"/>
        <v>0</v>
      </c>
      <c r="AC245" s="66">
        <f t="shared" si="57"/>
        <v>0</v>
      </c>
      <c r="AD245" s="66">
        <f t="shared" si="57"/>
        <v>0</v>
      </c>
      <c r="AE245" s="61">
        <f t="shared" si="57"/>
        <v>0</v>
      </c>
      <c r="AF245" s="68">
        <f t="shared" si="46"/>
        <v>1</v>
      </c>
    </row>
    <row r="246" spans="1:32" hidden="1" x14ac:dyDescent="0.35">
      <c r="A246" s="59" t="s">
        <v>319</v>
      </c>
      <c r="B246" s="54">
        <v>2</v>
      </c>
      <c r="C246" s="60" t="s">
        <v>225</v>
      </c>
      <c r="D246" s="60"/>
      <c r="E246" s="60"/>
      <c r="F246" s="60"/>
      <c r="G246" s="61">
        <f>SUM(D246:F246)</f>
        <v>0</v>
      </c>
      <c r="H246" s="60"/>
      <c r="I246" s="60"/>
      <c r="J246" s="60"/>
      <c r="K246" s="61">
        <f>SUM(H246:J246)</f>
        <v>0</v>
      </c>
      <c r="L246" s="60"/>
      <c r="M246" s="60"/>
      <c r="N246" s="60"/>
      <c r="O246" s="61">
        <f>SUM(L246:N246)</f>
        <v>0</v>
      </c>
      <c r="P246" s="60"/>
      <c r="Q246" s="60"/>
      <c r="R246" s="60"/>
      <c r="S246" s="61">
        <f>SUM(P246:R246)</f>
        <v>0</v>
      </c>
      <c r="T246" s="60"/>
      <c r="U246" s="60"/>
      <c r="V246" s="60"/>
      <c r="W246" s="61">
        <f>SUM(T246:V246)</f>
        <v>0</v>
      </c>
      <c r="X246" s="60"/>
      <c r="Y246" s="60"/>
      <c r="Z246" s="60"/>
      <c r="AA246" s="61">
        <f>SUM(X246:Z246)</f>
        <v>0</v>
      </c>
      <c r="AB246" s="60"/>
      <c r="AC246" s="60"/>
      <c r="AD246" s="60"/>
      <c r="AE246" s="61">
        <f>SUM(AB246:AD246)</f>
        <v>0</v>
      </c>
      <c r="AF246" s="68">
        <f t="shared" si="46"/>
        <v>0</v>
      </c>
    </row>
    <row r="247" spans="1:32" hidden="1" x14ac:dyDescent="0.35">
      <c r="A247" s="111" t="s">
        <v>320</v>
      </c>
      <c r="B247" s="54"/>
      <c r="C247" s="63" t="s">
        <v>227</v>
      </c>
      <c r="D247" s="63"/>
      <c r="E247" s="63"/>
      <c r="F247" s="63"/>
      <c r="G247" s="61">
        <f>SUM(D247:F247)</f>
        <v>0</v>
      </c>
      <c r="H247" s="63"/>
      <c r="I247" s="63"/>
      <c r="J247" s="63"/>
      <c r="K247" s="61">
        <f>SUM(H247:J247)</f>
        <v>0</v>
      </c>
      <c r="L247" s="63"/>
      <c r="M247" s="63"/>
      <c r="N247" s="63"/>
      <c r="O247" s="61">
        <f>SUM(L247:N247)</f>
        <v>0</v>
      </c>
      <c r="P247" s="63"/>
      <c r="Q247" s="63"/>
      <c r="R247" s="63"/>
      <c r="S247" s="61">
        <f>SUM(P247:R247)</f>
        <v>0</v>
      </c>
      <c r="T247" s="63"/>
      <c r="U247" s="63"/>
      <c r="V247" s="63"/>
      <c r="W247" s="61">
        <f>SUM(T247:V247)</f>
        <v>0</v>
      </c>
      <c r="X247" s="63"/>
      <c r="Y247" s="63"/>
      <c r="Z247" s="63"/>
      <c r="AA247" s="61">
        <f>SUM(X247:Z247)</f>
        <v>0</v>
      </c>
      <c r="AB247" s="63"/>
      <c r="AC247" s="63"/>
      <c r="AD247" s="63"/>
      <c r="AE247" s="61">
        <f>SUM(AB247:AD247)</f>
        <v>0</v>
      </c>
      <c r="AF247" s="68">
        <f t="shared" si="46"/>
        <v>0</v>
      </c>
    </row>
    <row r="248" spans="1:32" hidden="1" x14ac:dyDescent="0.35">
      <c r="A248" s="111"/>
      <c r="B248" s="54"/>
      <c r="C248" s="60" t="s">
        <v>228</v>
      </c>
      <c r="D248" s="60"/>
      <c r="E248" s="60"/>
      <c r="F248" s="60"/>
      <c r="G248" s="61">
        <f>SUM(D248:F248)</f>
        <v>0</v>
      </c>
      <c r="H248" s="60"/>
      <c r="I248" s="60"/>
      <c r="J248" s="60"/>
      <c r="K248" s="61">
        <f>SUM(H248:J248)</f>
        <v>0</v>
      </c>
      <c r="L248" s="60"/>
      <c r="M248" s="60"/>
      <c r="N248" s="60"/>
      <c r="O248" s="61">
        <f>SUM(L248:N248)</f>
        <v>0</v>
      </c>
      <c r="P248" s="60"/>
      <c r="Q248" s="60"/>
      <c r="R248" s="60"/>
      <c r="S248" s="61">
        <f>SUM(P248:R248)</f>
        <v>0</v>
      </c>
      <c r="T248" s="60"/>
      <c r="U248" s="60"/>
      <c r="V248" s="60"/>
      <c r="W248" s="61">
        <f>SUM(T248:V248)</f>
        <v>0</v>
      </c>
      <c r="X248" s="60"/>
      <c r="Y248" s="60"/>
      <c r="Z248" s="60"/>
      <c r="AA248" s="61">
        <f>SUM(X248:Z248)</f>
        <v>0</v>
      </c>
      <c r="AB248" s="60"/>
      <c r="AC248" s="60"/>
      <c r="AD248" s="60"/>
      <c r="AE248" s="61">
        <f>SUM(AB248:AD248)</f>
        <v>0</v>
      </c>
      <c r="AF248" s="68">
        <f t="shared" si="46"/>
        <v>0</v>
      </c>
    </row>
    <row r="249" spans="1:32" hidden="1" x14ac:dyDescent="0.35">
      <c r="A249" s="111"/>
      <c r="B249" s="54"/>
      <c r="C249" s="63" t="s">
        <v>235</v>
      </c>
      <c r="D249" s="63"/>
      <c r="E249" s="63"/>
      <c r="F249" s="63"/>
      <c r="G249" s="61">
        <f>SUM(D249:F249)</f>
        <v>0</v>
      </c>
      <c r="H249" s="63"/>
      <c r="I249" s="63"/>
      <c r="J249" s="63"/>
      <c r="K249" s="61">
        <f>SUM(H249:J249)</f>
        <v>0</v>
      </c>
      <c r="L249" s="63"/>
      <c r="M249" s="63"/>
      <c r="N249" s="63"/>
      <c r="O249" s="61">
        <f>SUM(L249:N249)</f>
        <v>0</v>
      </c>
      <c r="P249" s="63"/>
      <c r="Q249" s="63"/>
      <c r="R249" s="63"/>
      <c r="S249" s="61">
        <f>SUM(P249:R249)</f>
        <v>0</v>
      </c>
      <c r="T249" s="63"/>
      <c r="U249" s="63"/>
      <c r="V249" s="63"/>
      <c r="W249" s="61">
        <f>SUM(T249:V249)</f>
        <v>0</v>
      </c>
      <c r="X249" s="63"/>
      <c r="Y249" s="63"/>
      <c r="Z249" s="63"/>
      <c r="AA249" s="61">
        <f>SUM(X249:Z249)</f>
        <v>0</v>
      </c>
      <c r="AB249" s="63"/>
      <c r="AC249" s="63"/>
      <c r="AD249" s="63"/>
      <c r="AE249" s="61">
        <f>SUM(AB249:AD249)</f>
        <v>0</v>
      </c>
      <c r="AF249" s="68">
        <f t="shared" si="46"/>
        <v>0</v>
      </c>
    </row>
    <row r="250" spans="1:32" x14ac:dyDescent="0.35">
      <c r="A250" s="66" t="s">
        <v>319</v>
      </c>
      <c r="B250" s="67">
        <v>2</v>
      </c>
      <c r="C250" s="66"/>
      <c r="D250" s="66">
        <f t="shared" ref="D250:AE250" si="58">SUM(D246:D249)</f>
        <v>0</v>
      </c>
      <c r="E250" s="66">
        <f t="shared" si="58"/>
        <v>0</v>
      </c>
      <c r="F250" s="66">
        <f t="shared" si="58"/>
        <v>0</v>
      </c>
      <c r="G250" s="61">
        <f t="shared" si="58"/>
        <v>0</v>
      </c>
      <c r="H250" s="66">
        <f t="shared" si="58"/>
        <v>0</v>
      </c>
      <c r="I250" s="66">
        <f t="shared" si="58"/>
        <v>0</v>
      </c>
      <c r="J250" s="66">
        <f t="shared" si="58"/>
        <v>0</v>
      </c>
      <c r="K250" s="61">
        <f t="shared" si="58"/>
        <v>0</v>
      </c>
      <c r="L250" s="66">
        <f t="shared" si="58"/>
        <v>0</v>
      </c>
      <c r="M250" s="66">
        <f t="shared" si="58"/>
        <v>0</v>
      </c>
      <c r="N250" s="66">
        <f t="shared" si="58"/>
        <v>0</v>
      </c>
      <c r="O250" s="61">
        <f t="shared" si="58"/>
        <v>0</v>
      </c>
      <c r="P250" s="66">
        <f t="shared" si="58"/>
        <v>0</v>
      </c>
      <c r="Q250" s="66">
        <f t="shared" si="58"/>
        <v>0</v>
      </c>
      <c r="R250" s="66">
        <f t="shared" si="58"/>
        <v>0</v>
      </c>
      <c r="S250" s="61">
        <f t="shared" si="58"/>
        <v>0</v>
      </c>
      <c r="T250" s="66">
        <f t="shared" si="58"/>
        <v>0</v>
      </c>
      <c r="U250" s="66">
        <f t="shared" si="58"/>
        <v>0</v>
      </c>
      <c r="V250" s="66">
        <f t="shared" si="58"/>
        <v>0</v>
      </c>
      <c r="W250" s="61">
        <f t="shared" si="58"/>
        <v>0</v>
      </c>
      <c r="X250" s="66">
        <f t="shared" si="58"/>
        <v>0</v>
      </c>
      <c r="Y250" s="66">
        <f t="shared" si="58"/>
        <v>0</v>
      </c>
      <c r="Z250" s="66">
        <f t="shared" si="58"/>
        <v>0</v>
      </c>
      <c r="AA250" s="61">
        <f t="shared" si="58"/>
        <v>0</v>
      </c>
      <c r="AB250" s="66">
        <f t="shared" si="58"/>
        <v>0</v>
      </c>
      <c r="AC250" s="66">
        <f t="shared" si="58"/>
        <v>0</v>
      </c>
      <c r="AD250" s="66">
        <f t="shared" si="58"/>
        <v>0</v>
      </c>
      <c r="AE250" s="61">
        <f t="shared" si="58"/>
        <v>0</v>
      </c>
      <c r="AF250" s="68">
        <f t="shared" si="46"/>
        <v>0</v>
      </c>
    </row>
    <row r="251" spans="1:32" hidden="1" x14ac:dyDescent="0.35">
      <c r="A251" s="59" t="s">
        <v>321</v>
      </c>
      <c r="B251" s="54" t="s">
        <v>322</v>
      </c>
      <c r="C251" s="60" t="s">
        <v>225</v>
      </c>
      <c r="D251" s="60"/>
      <c r="E251" s="60"/>
      <c r="F251" s="60"/>
      <c r="G251" s="61">
        <f>SUM(D251:F251)</f>
        <v>0</v>
      </c>
      <c r="H251" s="60"/>
      <c r="I251" s="60"/>
      <c r="J251" s="60"/>
      <c r="K251" s="61">
        <f>SUM(H251:J251)</f>
        <v>0</v>
      </c>
      <c r="L251" s="60"/>
      <c r="M251" s="60"/>
      <c r="N251" s="60"/>
      <c r="O251" s="61">
        <f>SUM(L251:N251)</f>
        <v>0</v>
      </c>
      <c r="P251" s="60"/>
      <c r="Q251" s="60"/>
      <c r="R251" s="60"/>
      <c r="S251" s="61">
        <f>SUM(P251:R251)</f>
        <v>0</v>
      </c>
      <c r="T251" s="60"/>
      <c r="U251" s="60"/>
      <c r="V251" s="60"/>
      <c r="W251" s="61">
        <f>SUM(T251:V251)</f>
        <v>0</v>
      </c>
      <c r="X251" s="60"/>
      <c r="Y251" s="60"/>
      <c r="Z251" s="60"/>
      <c r="AA251" s="61">
        <f>SUM(X251:Z251)</f>
        <v>0</v>
      </c>
      <c r="AB251" s="60"/>
      <c r="AC251" s="60"/>
      <c r="AD251" s="60"/>
      <c r="AE251" s="61">
        <f>SUM(AB251:AD251)</f>
        <v>0</v>
      </c>
      <c r="AF251" s="68">
        <f t="shared" si="46"/>
        <v>0</v>
      </c>
    </row>
    <row r="252" spans="1:32" hidden="1" x14ac:dyDescent="0.35">
      <c r="A252" s="111" t="s">
        <v>323</v>
      </c>
      <c r="B252" s="54"/>
      <c r="C252" s="63" t="s">
        <v>227</v>
      </c>
      <c r="D252" s="63"/>
      <c r="E252" s="63"/>
      <c r="F252" s="63"/>
      <c r="G252" s="61">
        <f>SUM(D252:F252)</f>
        <v>0</v>
      </c>
      <c r="H252" s="63"/>
      <c r="I252" s="63"/>
      <c r="J252" s="63"/>
      <c r="K252" s="61">
        <f>SUM(H252:J252)</f>
        <v>0</v>
      </c>
      <c r="L252" s="63"/>
      <c r="M252" s="63"/>
      <c r="N252" s="63"/>
      <c r="O252" s="61">
        <f>SUM(L252:N252)</f>
        <v>0</v>
      </c>
      <c r="P252" s="63"/>
      <c r="Q252" s="63"/>
      <c r="R252" s="63"/>
      <c r="S252" s="61">
        <f>SUM(P252:R252)</f>
        <v>0</v>
      </c>
      <c r="T252" s="63"/>
      <c r="U252" s="63"/>
      <c r="V252" s="63"/>
      <c r="W252" s="61">
        <f>SUM(T252:V252)</f>
        <v>0</v>
      </c>
      <c r="X252" s="63"/>
      <c r="Y252" s="63"/>
      <c r="Z252" s="63"/>
      <c r="AA252" s="61">
        <f>SUM(X252:Z252)</f>
        <v>0</v>
      </c>
      <c r="AB252" s="63"/>
      <c r="AC252" s="63"/>
      <c r="AD252" s="63"/>
      <c r="AE252" s="61">
        <f>SUM(AB252:AD252)</f>
        <v>0</v>
      </c>
      <c r="AF252" s="68">
        <f t="shared" si="46"/>
        <v>0</v>
      </c>
    </row>
    <row r="253" spans="1:32" hidden="1" x14ac:dyDescent="0.35">
      <c r="A253" s="111"/>
      <c r="B253" s="54"/>
      <c r="C253" s="60" t="s">
        <v>228</v>
      </c>
      <c r="D253" s="60"/>
      <c r="E253" s="60"/>
      <c r="F253" s="60"/>
      <c r="G253" s="61">
        <f>SUM(D253:F253)</f>
        <v>0</v>
      </c>
      <c r="H253" s="60"/>
      <c r="I253" s="60"/>
      <c r="J253" s="60"/>
      <c r="K253" s="61">
        <f>SUM(H253:J253)</f>
        <v>0</v>
      </c>
      <c r="L253" s="60"/>
      <c r="M253" s="60"/>
      <c r="N253" s="60"/>
      <c r="O253" s="61">
        <f>SUM(L253:N253)</f>
        <v>0</v>
      </c>
      <c r="P253" s="60"/>
      <c r="Q253" s="60"/>
      <c r="R253" s="60"/>
      <c r="S253" s="61">
        <f>SUM(P253:R253)</f>
        <v>0</v>
      </c>
      <c r="T253" s="60"/>
      <c r="U253" s="60"/>
      <c r="V253" s="60"/>
      <c r="W253" s="61">
        <f>SUM(T253:V253)</f>
        <v>0</v>
      </c>
      <c r="X253" s="60"/>
      <c r="Y253" s="60"/>
      <c r="Z253" s="60"/>
      <c r="AA253" s="61">
        <f>SUM(X253:Z253)</f>
        <v>0</v>
      </c>
      <c r="AB253" s="60"/>
      <c r="AC253" s="60"/>
      <c r="AD253" s="60"/>
      <c r="AE253" s="61">
        <f>SUM(AB253:AD253)</f>
        <v>0</v>
      </c>
      <c r="AF253" s="68">
        <f t="shared" si="46"/>
        <v>0</v>
      </c>
    </row>
    <row r="254" spans="1:32" hidden="1" x14ac:dyDescent="0.35">
      <c r="A254" s="111"/>
      <c r="B254" s="54"/>
      <c r="C254" s="63" t="s">
        <v>235</v>
      </c>
      <c r="D254" s="63"/>
      <c r="E254" s="63"/>
      <c r="F254" s="63"/>
      <c r="G254" s="61">
        <f>SUM(D254:F254)</f>
        <v>0</v>
      </c>
      <c r="H254" s="63"/>
      <c r="I254" s="63"/>
      <c r="J254" s="63"/>
      <c r="K254" s="61">
        <f>SUM(H254:J254)</f>
        <v>0</v>
      </c>
      <c r="L254" s="63"/>
      <c r="M254" s="63"/>
      <c r="N254" s="63"/>
      <c r="O254" s="61">
        <f>SUM(L254:N254)</f>
        <v>0</v>
      </c>
      <c r="P254" s="63"/>
      <c r="Q254" s="63"/>
      <c r="R254" s="63"/>
      <c r="S254" s="61">
        <f>SUM(P254:R254)</f>
        <v>0</v>
      </c>
      <c r="T254" s="63"/>
      <c r="U254" s="63"/>
      <c r="V254" s="63"/>
      <c r="W254" s="61">
        <f>SUM(T254:V254)</f>
        <v>0</v>
      </c>
      <c r="X254" s="63"/>
      <c r="Y254" s="63"/>
      <c r="Z254" s="63"/>
      <c r="AA254" s="61">
        <f>SUM(X254:Z254)</f>
        <v>0</v>
      </c>
      <c r="AB254" s="63"/>
      <c r="AC254" s="63"/>
      <c r="AD254" s="63"/>
      <c r="AE254" s="61">
        <f>SUM(AB254:AD254)</f>
        <v>0</v>
      </c>
      <c r="AF254" s="68">
        <f t="shared" si="46"/>
        <v>0</v>
      </c>
    </row>
    <row r="255" spans="1:32" x14ac:dyDescent="0.35">
      <c r="A255" s="66" t="s">
        <v>321</v>
      </c>
      <c r="B255" s="67" t="s">
        <v>322</v>
      </c>
      <c r="C255" s="66"/>
      <c r="D255" s="66">
        <f t="shared" ref="D255:AE255" si="59">SUM(D251:D254)</f>
        <v>0</v>
      </c>
      <c r="E255" s="66">
        <f t="shared" si="59"/>
        <v>0</v>
      </c>
      <c r="F255" s="66">
        <f t="shared" si="59"/>
        <v>0</v>
      </c>
      <c r="G255" s="61">
        <f t="shared" si="59"/>
        <v>0</v>
      </c>
      <c r="H255" s="66">
        <f t="shared" si="59"/>
        <v>0</v>
      </c>
      <c r="I255" s="66">
        <f t="shared" si="59"/>
        <v>0</v>
      </c>
      <c r="J255" s="66">
        <f t="shared" si="59"/>
        <v>0</v>
      </c>
      <c r="K255" s="61">
        <f t="shared" si="59"/>
        <v>0</v>
      </c>
      <c r="L255" s="66">
        <f t="shared" si="59"/>
        <v>0</v>
      </c>
      <c r="M255" s="66">
        <f t="shared" si="59"/>
        <v>0</v>
      </c>
      <c r="N255" s="66">
        <f t="shared" si="59"/>
        <v>0</v>
      </c>
      <c r="O255" s="61">
        <f t="shared" si="59"/>
        <v>0</v>
      </c>
      <c r="P255" s="66">
        <f t="shared" si="59"/>
        <v>0</v>
      </c>
      <c r="Q255" s="66">
        <f t="shared" si="59"/>
        <v>0</v>
      </c>
      <c r="R255" s="66">
        <f t="shared" si="59"/>
        <v>0</v>
      </c>
      <c r="S255" s="61">
        <f t="shared" si="59"/>
        <v>0</v>
      </c>
      <c r="T255" s="66">
        <f t="shared" si="59"/>
        <v>0</v>
      </c>
      <c r="U255" s="66">
        <f t="shared" si="59"/>
        <v>0</v>
      </c>
      <c r="V255" s="66">
        <f t="shared" si="59"/>
        <v>0</v>
      </c>
      <c r="W255" s="61">
        <f t="shared" si="59"/>
        <v>0</v>
      </c>
      <c r="X255" s="66">
        <f t="shared" si="59"/>
        <v>0</v>
      </c>
      <c r="Y255" s="66">
        <f t="shared" si="59"/>
        <v>0</v>
      </c>
      <c r="Z255" s="66">
        <f t="shared" si="59"/>
        <v>0</v>
      </c>
      <c r="AA255" s="61">
        <f t="shared" si="59"/>
        <v>0</v>
      </c>
      <c r="AB255" s="66">
        <f t="shared" si="59"/>
        <v>0</v>
      </c>
      <c r="AC255" s="66">
        <f t="shared" si="59"/>
        <v>0</v>
      </c>
      <c r="AD255" s="66">
        <f t="shared" si="59"/>
        <v>0</v>
      </c>
      <c r="AE255" s="61">
        <f t="shared" si="59"/>
        <v>0</v>
      </c>
      <c r="AF255" s="68">
        <f t="shared" si="46"/>
        <v>0</v>
      </c>
    </row>
    <row r="256" spans="1:32" hidden="1" x14ac:dyDescent="0.35">
      <c r="A256" s="59" t="s">
        <v>324</v>
      </c>
      <c r="B256" s="54">
        <v>26</v>
      </c>
      <c r="C256" s="60" t="s">
        <v>225</v>
      </c>
      <c r="D256" s="60"/>
      <c r="E256" s="60"/>
      <c r="F256" s="60"/>
      <c r="G256" s="61">
        <f>SUM(D256:F256)</f>
        <v>0</v>
      </c>
      <c r="H256" s="60"/>
      <c r="I256" s="60"/>
      <c r="J256" s="60"/>
      <c r="K256" s="61">
        <f>SUM(H256:J256)</f>
        <v>0</v>
      </c>
      <c r="L256" s="60"/>
      <c r="M256" s="60"/>
      <c r="N256" s="60"/>
      <c r="O256" s="61">
        <f>SUM(L256:N256)</f>
        <v>0</v>
      </c>
      <c r="P256" s="60"/>
      <c r="Q256" s="60"/>
      <c r="R256" s="60"/>
      <c r="S256" s="61">
        <f>SUM(P256:R256)</f>
        <v>0</v>
      </c>
      <c r="T256" s="60"/>
      <c r="U256" s="60"/>
      <c r="V256" s="60"/>
      <c r="W256" s="61">
        <f>SUM(T256:V256)</f>
        <v>0</v>
      </c>
      <c r="X256" s="60"/>
      <c r="Y256" s="60"/>
      <c r="Z256" s="60"/>
      <c r="AA256" s="61">
        <f>SUM(X256:Z256)</f>
        <v>0</v>
      </c>
      <c r="AB256" s="60"/>
      <c r="AC256" s="60"/>
      <c r="AD256" s="60"/>
      <c r="AE256" s="61">
        <f>SUM(AB256:AD256)</f>
        <v>0</v>
      </c>
      <c r="AF256" s="68">
        <f t="shared" si="46"/>
        <v>0</v>
      </c>
    </row>
    <row r="257" spans="1:32" hidden="1" x14ac:dyDescent="0.35">
      <c r="A257" s="111" t="s">
        <v>397</v>
      </c>
      <c r="B257" s="54"/>
      <c r="C257" s="63" t="s">
        <v>227</v>
      </c>
      <c r="D257" s="63"/>
      <c r="E257" s="63"/>
      <c r="F257" s="63"/>
      <c r="G257" s="61">
        <f>SUM(D257:F257)</f>
        <v>0</v>
      </c>
      <c r="H257" s="63"/>
      <c r="I257" s="63"/>
      <c r="J257" s="63"/>
      <c r="K257" s="61">
        <f>SUM(H257:J257)</f>
        <v>0</v>
      </c>
      <c r="L257" s="63"/>
      <c r="M257" s="63"/>
      <c r="N257" s="63"/>
      <c r="O257" s="61">
        <f>SUM(L257:N257)</f>
        <v>0</v>
      </c>
      <c r="P257" s="63"/>
      <c r="Q257" s="63"/>
      <c r="R257" s="63"/>
      <c r="S257" s="61">
        <f>SUM(P257:R257)</f>
        <v>0</v>
      </c>
      <c r="T257" s="63"/>
      <c r="U257" s="63"/>
      <c r="V257" s="63"/>
      <c r="W257" s="61">
        <f>SUM(T257:V257)</f>
        <v>0</v>
      </c>
      <c r="X257" s="63"/>
      <c r="Y257" s="63"/>
      <c r="Z257" s="63"/>
      <c r="AA257" s="61">
        <f>SUM(X257:Z257)</f>
        <v>0</v>
      </c>
      <c r="AB257" s="63"/>
      <c r="AC257" s="63"/>
      <c r="AD257" s="63"/>
      <c r="AE257" s="61">
        <f>SUM(AB257:AD257)</f>
        <v>0</v>
      </c>
      <c r="AF257" s="68">
        <f t="shared" si="46"/>
        <v>0</v>
      </c>
    </row>
    <row r="258" spans="1:32" hidden="1" x14ac:dyDescent="0.35">
      <c r="A258" s="111"/>
      <c r="B258" s="54"/>
      <c r="C258" s="60" t="s">
        <v>228</v>
      </c>
      <c r="D258" s="60"/>
      <c r="E258" s="60"/>
      <c r="F258" s="60"/>
      <c r="G258" s="61">
        <f>SUM(D258:F258)</f>
        <v>0</v>
      </c>
      <c r="H258" s="60"/>
      <c r="I258" s="60"/>
      <c r="J258" s="60"/>
      <c r="K258" s="61">
        <f>SUM(H258:J258)</f>
        <v>0</v>
      </c>
      <c r="L258" s="60"/>
      <c r="M258" s="60"/>
      <c r="N258" s="60"/>
      <c r="O258" s="61">
        <f>SUM(L258:N258)</f>
        <v>0</v>
      </c>
      <c r="P258" s="60"/>
      <c r="Q258" s="60"/>
      <c r="R258" s="60"/>
      <c r="S258" s="61">
        <f>SUM(P258:R258)</f>
        <v>0</v>
      </c>
      <c r="T258" s="60"/>
      <c r="U258" s="60"/>
      <c r="V258" s="60"/>
      <c r="W258" s="61">
        <f>SUM(T258:V258)</f>
        <v>0</v>
      </c>
      <c r="X258" s="60"/>
      <c r="Y258" s="60"/>
      <c r="Z258" s="60"/>
      <c r="AA258" s="61">
        <f>SUM(X258:Z258)</f>
        <v>0</v>
      </c>
      <c r="AB258" s="60"/>
      <c r="AC258" s="60"/>
      <c r="AD258" s="60"/>
      <c r="AE258" s="61">
        <f>SUM(AB258:AD258)</f>
        <v>0</v>
      </c>
      <c r="AF258" s="68">
        <f t="shared" si="46"/>
        <v>0</v>
      </c>
    </row>
    <row r="259" spans="1:32" hidden="1" x14ac:dyDescent="0.35">
      <c r="A259" s="111"/>
      <c r="B259" s="54"/>
      <c r="C259" s="63" t="s">
        <v>235</v>
      </c>
      <c r="D259" s="63"/>
      <c r="E259" s="63"/>
      <c r="F259" s="63"/>
      <c r="G259" s="61">
        <f>SUM(D259:F259)</f>
        <v>0</v>
      </c>
      <c r="H259" s="63"/>
      <c r="I259" s="63"/>
      <c r="J259" s="63"/>
      <c r="K259" s="61">
        <f>SUM(H259:J259)</f>
        <v>0</v>
      </c>
      <c r="L259" s="63"/>
      <c r="M259" s="63"/>
      <c r="N259" s="63"/>
      <c r="O259" s="61">
        <f>SUM(L259:N259)</f>
        <v>0</v>
      </c>
      <c r="P259" s="63"/>
      <c r="Q259" s="63"/>
      <c r="R259" s="63"/>
      <c r="S259" s="61">
        <f>SUM(P259:R259)</f>
        <v>0</v>
      </c>
      <c r="T259" s="63"/>
      <c r="U259" s="63"/>
      <c r="V259" s="63"/>
      <c r="W259" s="61">
        <f>SUM(T259:V259)</f>
        <v>0</v>
      </c>
      <c r="X259" s="63"/>
      <c r="Y259" s="63"/>
      <c r="Z259" s="63"/>
      <c r="AA259" s="61">
        <f>SUM(X259:Z259)</f>
        <v>0</v>
      </c>
      <c r="AB259" s="63"/>
      <c r="AC259" s="63"/>
      <c r="AD259" s="63"/>
      <c r="AE259" s="61">
        <f>SUM(AB259:AD259)</f>
        <v>0</v>
      </c>
      <c r="AF259" s="68">
        <f t="shared" si="46"/>
        <v>0</v>
      </c>
    </row>
    <row r="260" spans="1:32" hidden="1" x14ac:dyDescent="0.35">
      <c r="A260" s="66" t="s">
        <v>397</v>
      </c>
      <c r="B260" s="67"/>
      <c r="C260" s="66"/>
      <c r="D260" s="66">
        <f t="shared" ref="D260:AE260" si="60">SUM(D256:D259)</f>
        <v>0</v>
      </c>
      <c r="E260" s="66">
        <f t="shared" si="60"/>
        <v>0</v>
      </c>
      <c r="F260" s="66">
        <f t="shared" si="60"/>
        <v>0</v>
      </c>
      <c r="G260" s="61">
        <f t="shared" si="60"/>
        <v>0</v>
      </c>
      <c r="H260" s="66">
        <f t="shared" si="60"/>
        <v>0</v>
      </c>
      <c r="I260" s="66">
        <f t="shared" si="60"/>
        <v>0</v>
      </c>
      <c r="J260" s="66">
        <f t="shared" si="60"/>
        <v>0</v>
      </c>
      <c r="K260" s="61">
        <f t="shared" si="60"/>
        <v>0</v>
      </c>
      <c r="L260" s="66">
        <f t="shared" si="60"/>
        <v>0</v>
      </c>
      <c r="M260" s="66">
        <f t="shared" si="60"/>
        <v>0</v>
      </c>
      <c r="N260" s="66">
        <f t="shared" si="60"/>
        <v>0</v>
      </c>
      <c r="O260" s="61">
        <f t="shared" si="60"/>
        <v>0</v>
      </c>
      <c r="P260" s="66">
        <f t="shared" si="60"/>
        <v>0</v>
      </c>
      <c r="Q260" s="66">
        <f t="shared" si="60"/>
        <v>0</v>
      </c>
      <c r="R260" s="66">
        <f t="shared" si="60"/>
        <v>0</v>
      </c>
      <c r="S260" s="61">
        <f t="shared" si="60"/>
        <v>0</v>
      </c>
      <c r="T260" s="66">
        <f t="shared" si="60"/>
        <v>0</v>
      </c>
      <c r="U260" s="66">
        <f t="shared" si="60"/>
        <v>0</v>
      </c>
      <c r="V260" s="66">
        <f t="shared" si="60"/>
        <v>0</v>
      </c>
      <c r="W260" s="61">
        <f t="shared" si="60"/>
        <v>0</v>
      </c>
      <c r="X260" s="66">
        <f t="shared" si="60"/>
        <v>0</v>
      </c>
      <c r="Y260" s="66">
        <f t="shared" si="60"/>
        <v>0</v>
      </c>
      <c r="Z260" s="66">
        <f t="shared" si="60"/>
        <v>0</v>
      </c>
      <c r="AA260" s="61">
        <f t="shared" si="60"/>
        <v>0</v>
      </c>
      <c r="AB260" s="66">
        <f t="shared" si="60"/>
        <v>0</v>
      </c>
      <c r="AC260" s="66">
        <f t="shared" si="60"/>
        <v>0</v>
      </c>
      <c r="AD260" s="66">
        <f t="shared" si="60"/>
        <v>0</v>
      </c>
      <c r="AE260" s="61">
        <f t="shared" si="60"/>
        <v>0</v>
      </c>
      <c r="AF260" s="68">
        <f t="shared" si="46"/>
        <v>0</v>
      </c>
    </row>
    <row r="261" spans="1:32" hidden="1" x14ac:dyDescent="0.35">
      <c r="A261" s="111" t="s">
        <v>325</v>
      </c>
      <c r="B261" s="54"/>
      <c r="C261" s="60" t="s">
        <v>225</v>
      </c>
      <c r="D261" s="60"/>
      <c r="E261" s="60"/>
      <c r="F261" s="60"/>
      <c r="G261" s="61">
        <f>SUM(D261:F261)</f>
        <v>0</v>
      </c>
      <c r="H261" s="60"/>
      <c r="I261" s="60"/>
      <c r="J261" s="60"/>
      <c r="K261" s="61">
        <f>SUM(H261:J261)</f>
        <v>0</v>
      </c>
      <c r="L261" s="60"/>
      <c r="M261" s="60"/>
      <c r="N261" s="60"/>
      <c r="O261" s="61">
        <f>SUM(L261:N261)</f>
        <v>0</v>
      </c>
      <c r="P261" s="60"/>
      <c r="Q261" s="60"/>
      <c r="R261" s="60"/>
      <c r="S261" s="61">
        <f>SUM(P261:R261)</f>
        <v>0</v>
      </c>
      <c r="T261" s="60">
        <v>4</v>
      </c>
      <c r="U261" s="60"/>
      <c r="V261" s="60">
        <v>1</v>
      </c>
      <c r="W261" s="61">
        <f>SUM(T261:V261)</f>
        <v>5</v>
      </c>
      <c r="X261" s="60"/>
      <c r="Y261" s="60">
        <v>2</v>
      </c>
      <c r="Z261" s="60"/>
      <c r="AA261" s="61">
        <f>SUM(X261:Z261)</f>
        <v>2</v>
      </c>
      <c r="AB261" s="60"/>
      <c r="AC261" s="60"/>
      <c r="AD261" s="60"/>
      <c r="AE261" s="61">
        <f>SUM(AB261:AD261)</f>
        <v>0</v>
      </c>
      <c r="AF261" s="68">
        <f t="shared" ref="AF261:AF324" si="61">SUM(G261,K261,O261,S261,W261,AA261,AE261)</f>
        <v>7</v>
      </c>
    </row>
    <row r="262" spans="1:32" hidden="1" x14ac:dyDescent="0.35">
      <c r="A262" s="111"/>
      <c r="B262" s="54"/>
      <c r="C262" s="63" t="s">
        <v>227</v>
      </c>
      <c r="D262" s="63"/>
      <c r="E262" s="63"/>
      <c r="F262" s="63"/>
      <c r="G262" s="61">
        <f>SUM(D262:F262)</f>
        <v>0</v>
      </c>
      <c r="H262" s="63">
        <v>1</v>
      </c>
      <c r="I262" s="63"/>
      <c r="J262" s="63"/>
      <c r="K262" s="61">
        <f>SUM(H262:J262)</f>
        <v>1</v>
      </c>
      <c r="L262" s="63"/>
      <c r="M262" s="63"/>
      <c r="N262" s="63"/>
      <c r="O262" s="61">
        <f>SUM(L262:N262)</f>
        <v>0</v>
      </c>
      <c r="P262" s="63"/>
      <c r="Q262" s="63"/>
      <c r="R262" s="63"/>
      <c r="S262" s="61">
        <f>SUM(P262:R262)</f>
        <v>0</v>
      </c>
      <c r="T262" s="63">
        <v>1</v>
      </c>
      <c r="U262" s="63"/>
      <c r="V262" s="63"/>
      <c r="W262" s="61">
        <f>SUM(T262:V262)</f>
        <v>1</v>
      </c>
      <c r="X262" s="63"/>
      <c r="Y262" s="63">
        <v>1</v>
      </c>
      <c r="Z262" s="63"/>
      <c r="AA262" s="61">
        <f>SUM(X262:Z262)</f>
        <v>1</v>
      </c>
      <c r="AB262" s="63"/>
      <c r="AC262" s="63"/>
      <c r="AD262" s="63"/>
      <c r="AE262" s="61">
        <f>SUM(AB262:AD262)</f>
        <v>0</v>
      </c>
      <c r="AF262" s="68">
        <f t="shared" si="61"/>
        <v>3</v>
      </c>
    </row>
    <row r="263" spans="1:32" hidden="1" x14ac:dyDescent="0.35">
      <c r="A263" s="111"/>
      <c r="B263" s="54"/>
      <c r="C263" s="60" t="s">
        <v>228</v>
      </c>
      <c r="D263" s="60"/>
      <c r="E263" s="60"/>
      <c r="F263" s="60"/>
      <c r="G263" s="61">
        <f>SUM(D263:F263)</f>
        <v>0</v>
      </c>
      <c r="H263" s="60"/>
      <c r="I263" s="60"/>
      <c r="J263" s="60"/>
      <c r="K263" s="61">
        <f>SUM(H263:J263)</f>
        <v>0</v>
      </c>
      <c r="L263" s="60"/>
      <c r="M263" s="60"/>
      <c r="N263" s="60"/>
      <c r="O263" s="61">
        <f>SUM(L263:N263)</f>
        <v>0</v>
      </c>
      <c r="P263" s="60">
        <v>1</v>
      </c>
      <c r="Q263" s="60"/>
      <c r="R263" s="60"/>
      <c r="S263" s="61">
        <f>SUM(P263:R263)</f>
        <v>1</v>
      </c>
      <c r="T263" s="60"/>
      <c r="U263" s="60"/>
      <c r="V263" s="60"/>
      <c r="W263" s="61">
        <f>SUM(T263:V263)</f>
        <v>0</v>
      </c>
      <c r="X263" s="60">
        <v>1</v>
      </c>
      <c r="Y263" s="60">
        <v>3</v>
      </c>
      <c r="Z263" s="60">
        <v>1</v>
      </c>
      <c r="AA263" s="61">
        <f>SUM(X263:Z263)</f>
        <v>5</v>
      </c>
      <c r="AB263" s="60"/>
      <c r="AC263" s="60"/>
      <c r="AD263" s="60"/>
      <c r="AE263" s="61">
        <f>SUM(AB263:AD263)</f>
        <v>0</v>
      </c>
      <c r="AF263" s="68">
        <f t="shared" si="61"/>
        <v>6</v>
      </c>
    </row>
    <row r="264" spans="1:32" hidden="1" x14ac:dyDescent="0.35">
      <c r="A264" s="111"/>
      <c r="B264" s="54"/>
      <c r="C264" s="63" t="s">
        <v>235</v>
      </c>
      <c r="D264" s="63"/>
      <c r="E264" s="63"/>
      <c r="F264" s="63"/>
      <c r="G264" s="61">
        <f>SUM(D264:F264)</f>
        <v>0</v>
      </c>
      <c r="H264" s="63">
        <v>3</v>
      </c>
      <c r="I264" s="63"/>
      <c r="J264" s="63"/>
      <c r="K264" s="61">
        <f>SUM(H264:J264)</f>
        <v>3</v>
      </c>
      <c r="L264" s="63"/>
      <c r="M264" s="63"/>
      <c r="N264" s="63"/>
      <c r="O264" s="61">
        <f>SUM(L264:N264)</f>
        <v>0</v>
      </c>
      <c r="P264" s="63">
        <v>1</v>
      </c>
      <c r="Q264" s="63"/>
      <c r="R264" s="63">
        <v>1</v>
      </c>
      <c r="S264" s="61">
        <f>SUM(P264:R264)</f>
        <v>2</v>
      </c>
      <c r="T264" s="63">
        <v>3</v>
      </c>
      <c r="U264" s="63"/>
      <c r="V264" s="63"/>
      <c r="W264" s="61">
        <f>SUM(T264:V264)</f>
        <v>3</v>
      </c>
      <c r="X264" s="63"/>
      <c r="Y264" s="63">
        <v>1</v>
      </c>
      <c r="Z264" s="63"/>
      <c r="AA264" s="61">
        <f>SUM(X264:Z264)</f>
        <v>1</v>
      </c>
      <c r="AB264" s="63"/>
      <c r="AC264" s="63"/>
      <c r="AD264" s="63"/>
      <c r="AE264" s="61">
        <f>SUM(AB264:AD264)</f>
        <v>0</v>
      </c>
      <c r="AF264" s="68">
        <f t="shared" si="61"/>
        <v>9</v>
      </c>
    </row>
    <row r="265" spans="1:32" hidden="1" x14ac:dyDescent="0.35">
      <c r="A265" s="76" t="s">
        <v>326</v>
      </c>
      <c r="B265" s="67"/>
      <c r="C265" s="66"/>
      <c r="D265" s="66">
        <f t="shared" ref="D265:AE265" si="62">SUM(D261:D264)</f>
        <v>0</v>
      </c>
      <c r="E265" s="66">
        <f t="shared" si="62"/>
        <v>0</v>
      </c>
      <c r="F265" s="66">
        <f t="shared" si="62"/>
        <v>0</v>
      </c>
      <c r="G265" s="61">
        <f t="shared" si="62"/>
        <v>0</v>
      </c>
      <c r="H265" s="66">
        <f t="shared" si="62"/>
        <v>4</v>
      </c>
      <c r="I265" s="66">
        <f t="shared" si="62"/>
        <v>0</v>
      </c>
      <c r="J265" s="66">
        <f t="shared" si="62"/>
        <v>0</v>
      </c>
      <c r="K265" s="61">
        <f t="shared" si="62"/>
        <v>4</v>
      </c>
      <c r="L265" s="66">
        <f t="shared" si="62"/>
        <v>0</v>
      </c>
      <c r="M265" s="66">
        <f t="shared" si="62"/>
        <v>0</v>
      </c>
      <c r="N265" s="66">
        <f t="shared" si="62"/>
        <v>0</v>
      </c>
      <c r="O265" s="61">
        <f t="shared" si="62"/>
        <v>0</v>
      </c>
      <c r="P265" s="66">
        <f t="shared" si="62"/>
        <v>2</v>
      </c>
      <c r="Q265" s="66">
        <f t="shared" si="62"/>
        <v>0</v>
      </c>
      <c r="R265" s="66">
        <f t="shared" si="62"/>
        <v>1</v>
      </c>
      <c r="S265" s="61">
        <f t="shared" si="62"/>
        <v>3</v>
      </c>
      <c r="T265" s="66">
        <f t="shared" si="62"/>
        <v>8</v>
      </c>
      <c r="U265" s="66">
        <f t="shared" si="62"/>
        <v>0</v>
      </c>
      <c r="V265" s="66">
        <f t="shared" si="62"/>
        <v>1</v>
      </c>
      <c r="W265" s="61">
        <f t="shared" si="62"/>
        <v>9</v>
      </c>
      <c r="X265" s="66">
        <f t="shared" si="62"/>
        <v>1</v>
      </c>
      <c r="Y265" s="66">
        <f t="shared" si="62"/>
        <v>7</v>
      </c>
      <c r="Z265" s="66">
        <f t="shared" si="62"/>
        <v>1</v>
      </c>
      <c r="AA265" s="61">
        <f t="shared" si="62"/>
        <v>9</v>
      </c>
      <c r="AB265" s="66">
        <f t="shared" si="62"/>
        <v>0</v>
      </c>
      <c r="AC265" s="66">
        <f t="shared" si="62"/>
        <v>0</v>
      </c>
      <c r="AD265" s="66">
        <f t="shared" si="62"/>
        <v>0</v>
      </c>
      <c r="AE265" s="61">
        <f t="shared" si="62"/>
        <v>0</v>
      </c>
      <c r="AF265" s="68">
        <f t="shared" si="61"/>
        <v>25</v>
      </c>
    </row>
    <row r="266" spans="1:32" x14ac:dyDescent="0.35">
      <c r="A266" s="66" t="s">
        <v>324</v>
      </c>
      <c r="B266" s="67">
        <v>26</v>
      </c>
      <c r="C266" s="66"/>
      <c r="D266" s="66">
        <f t="shared" ref="D266:AE266" si="63">SUM(D265,D260)</f>
        <v>0</v>
      </c>
      <c r="E266" s="66">
        <f t="shared" si="63"/>
        <v>0</v>
      </c>
      <c r="F266" s="66">
        <f t="shared" si="63"/>
        <v>0</v>
      </c>
      <c r="G266" s="61">
        <f t="shared" si="63"/>
        <v>0</v>
      </c>
      <c r="H266" s="66">
        <f t="shared" si="63"/>
        <v>4</v>
      </c>
      <c r="I266" s="66">
        <f t="shared" si="63"/>
        <v>0</v>
      </c>
      <c r="J266" s="66">
        <f t="shared" si="63"/>
        <v>0</v>
      </c>
      <c r="K266" s="61">
        <f t="shared" si="63"/>
        <v>4</v>
      </c>
      <c r="L266" s="66">
        <f t="shared" si="63"/>
        <v>0</v>
      </c>
      <c r="M266" s="66">
        <f t="shared" si="63"/>
        <v>0</v>
      </c>
      <c r="N266" s="66">
        <f t="shared" si="63"/>
        <v>0</v>
      </c>
      <c r="O266" s="61">
        <f t="shared" si="63"/>
        <v>0</v>
      </c>
      <c r="P266" s="66">
        <f t="shared" si="63"/>
        <v>2</v>
      </c>
      <c r="Q266" s="66">
        <f t="shared" si="63"/>
        <v>0</v>
      </c>
      <c r="R266" s="66">
        <f t="shared" si="63"/>
        <v>1</v>
      </c>
      <c r="S266" s="61">
        <f t="shared" si="63"/>
        <v>3</v>
      </c>
      <c r="T266" s="66">
        <f t="shared" si="63"/>
        <v>8</v>
      </c>
      <c r="U266" s="66">
        <f t="shared" si="63"/>
        <v>0</v>
      </c>
      <c r="V266" s="66">
        <f t="shared" si="63"/>
        <v>1</v>
      </c>
      <c r="W266" s="61">
        <f t="shared" si="63"/>
        <v>9</v>
      </c>
      <c r="X266" s="66">
        <f t="shared" si="63"/>
        <v>1</v>
      </c>
      <c r="Y266" s="66">
        <f t="shared" si="63"/>
        <v>7</v>
      </c>
      <c r="Z266" s="66">
        <f t="shared" si="63"/>
        <v>1</v>
      </c>
      <c r="AA266" s="61">
        <f t="shared" si="63"/>
        <v>9</v>
      </c>
      <c r="AB266" s="66">
        <f t="shared" si="63"/>
        <v>0</v>
      </c>
      <c r="AC266" s="66">
        <f t="shared" si="63"/>
        <v>0</v>
      </c>
      <c r="AD266" s="66">
        <f t="shared" si="63"/>
        <v>0</v>
      </c>
      <c r="AE266" s="61">
        <f t="shared" si="63"/>
        <v>0</v>
      </c>
      <c r="AF266" s="68">
        <f t="shared" si="61"/>
        <v>25</v>
      </c>
    </row>
    <row r="267" spans="1:32" hidden="1" x14ac:dyDescent="0.35">
      <c r="A267" s="59" t="s">
        <v>327</v>
      </c>
      <c r="B267" s="54">
        <v>24</v>
      </c>
      <c r="C267" s="60" t="s">
        <v>225</v>
      </c>
      <c r="D267" s="60"/>
      <c r="E267" s="60"/>
      <c r="F267" s="60"/>
      <c r="G267" s="61">
        <f>SUM(D267:F267)</f>
        <v>0</v>
      </c>
      <c r="H267" s="60"/>
      <c r="I267" s="60"/>
      <c r="J267" s="60"/>
      <c r="K267" s="61">
        <f>SUM(H267:J267)</f>
        <v>0</v>
      </c>
      <c r="L267" s="60"/>
      <c r="M267" s="60"/>
      <c r="N267" s="60"/>
      <c r="O267" s="61">
        <f>SUM(L267:N267)</f>
        <v>0</v>
      </c>
      <c r="P267" s="60"/>
      <c r="Q267" s="60"/>
      <c r="R267" s="60"/>
      <c r="S267" s="61">
        <f>SUM(P267:R267)</f>
        <v>0</v>
      </c>
      <c r="T267" s="60"/>
      <c r="U267" s="60"/>
      <c r="V267" s="60"/>
      <c r="W267" s="61">
        <f>SUM(T267:V267)</f>
        <v>0</v>
      </c>
      <c r="X267" s="60"/>
      <c r="Y267" s="60"/>
      <c r="Z267" s="60"/>
      <c r="AA267" s="61">
        <f>SUM(X267:Z267)</f>
        <v>0</v>
      </c>
      <c r="AB267" s="60"/>
      <c r="AC267" s="60"/>
      <c r="AD267" s="60"/>
      <c r="AE267" s="61">
        <f>SUM(AB267:AD267)</f>
        <v>0</v>
      </c>
      <c r="AF267" s="68">
        <f t="shared" si="61"/>
        <v>0</v>
      </c>
    </row>
    <row r="268" spans="1:32" hidden="1" x14ac:dyDescent="0.35">
      <c r="A268" s="111" t="s">
        <v>318</v>
      </c>
      <c r="B268" s="54"/>
      <c r="C268" s="63" t="s">
        <v>227</v>
      </c>
      <c r="D268" s="63"/>
      <c r="E268" s="63"/>
      <c r="F268" s="63"/>
      <c r="G268" s="61">
        <f>SUM(D268:F268)</f>
        <v>0</v>
      </c>
      <c r="H268" s="63"/>
      <c r="I268" s="63"/>
      <c r="J268" s="63"/>
      <c r="K268" s="61">
        <f>SUM(H268:J268)</f>
        <v>0</v>
      </c>
      <c r="L268" s="63"/>
      <c r="M268" s="63"/>
      <c r="N268" s="63"/>
      <c r="O268" s="61">
        <f>SUM(L268:N268)</f>
        <v>0</v>
      </c>
      <c r="P268" s="63"/>
      <c r="Q268" s="63"/>
      <c r="R268" s="63"/>
      <c r="S268" s="61">
        <f>SUM(P268:R268)</f>
        <v>0</v>
      </c>
      <c r="T268" s="63"/>
      <c r="U268" s="63"/>
      <c r="V268" s="63"/>
      <c r="W268" s="61">
        <f>SUM(T268:V268)</f>
        <v>0</v>
      </c>
      <c r="X268" s="63">
        <v>1</v>
      </c>
      <c r="Y268" s="63"/>
      <c r="Z268" s="63"/>
      <c r="AA268" s="61">
        <f>SUM(X268:Z268)</f>
        <v>1</v>
      </c>
      <c r="AB268" s="63"/>
      <c r="AC268" s="63"/>
      <c r="AD268" s="63"/>
      <c r="AE268" s="61">
        <f>SUM(AB268:AD268)</f>
        <v>0</v>
      </c>
      <c r="AF268" s="68">
        <f t="shared" si="61"/>
        <v>1</v>
      </c>
    </row>
    <row r="269" spans="1:32" hidden="1" x14ac:dyDescent="0.35">
      <c r="A269" s="111"/>
      <c r="B269" s="54"/>
      <c r="C269" s="60" t="s">
        <v>228</v>
      </c>
      <c r="D269" s="60"/>
      <c r="E269" s="60"/>
      <c r="F269" s="60"/>
      <c r="G269" s="61">
        <f>SUM(D269:F269)</f>
        <v>0</v>
      </c>
      <c r="H269" s="60"/>
      <c r="I269" s="60"/>
      <c r="J269" s="60"/>
      <c r="K269" s="61">
        <f>SUM(H269:J269)</f>
        <v>0</v>
      </c>
      <c r="L269" s="60"/>
      <c r="M269" s="60"/>
      <c r="N269" s="60"/>
      <c r="O269" s="61">
        <f>SUM(L269:N269)</f>
        <v>0</v>
      </c>
      <c r="P269" s="60"/>
      <c r="Q269" s="60"/>
      <c r="R269" s="60"/>
      <c r="S269" s="61">
        <f>SUM(P269:R269)</f>
        <v>0</v>
      </c>
      <c r="T269" s="60"/>
      <c r="U269" s="60"/>
      <c r="V269" s="60"/>
      <c r="W269" s="61">
        <f>SUM(T269:V269)</f>
        <v>0</v>
      </c>
      <c r="X269" s="60"/>
      <c r="Y269" s="60"/>
      <c r="Z269" s="60"/>
      <c r="AA269" s="61">
        <f>SUM(X269:Z269)</f>
        <v>0</v>
      </c>
      <c r="AB269" s="60"/>
      <c r="AC269" s="60"/>
      <c r="AD269" s="60"/>
      <c r="AE269" s="61">
        <f>SUM(AB269:AD269)</f>
        <v>0</v>
      </c>
      <c r="AF269" s="68">
        <f t="shared" si="61"/>
        <v>0</v>
      </c>
    </row>
    <row r="270" spans="1:32" hidden="1" x14ac:dyDescent="0.35">
      <c r="A270" s="111"/>
      <c r="B270" s="54"/>
      <c r="C270" s="63" t="s">
        <v>235</v>
      </c>
      <c r="D270" s="63"/>
      <c r="E270" s="63"/>
      <c r="F270" s="63"/>
      <c r="G270" s="61">
        <f>SUM(D270:F270)</f>
        <v>0</v>
      </c>
      <c r="H270" s="63"/>
      <c r="I270" s="63"/>
      <c r="J270" s="63"/>
      <c r="K270" s="61">
        <f>SUM(H270:J270)</f>
        <v>0</v>
      </c>
      <c r="L270" s="63"/>
      <c r="M270" s="63"/>
      <c r="N270" s="63"/>
      <c r="O270" s="61">
        <f>SUM(L270:N270)</f>
        <v>0</v>
      </c>
      <c r="P270" s="63"/>
      <c r="Q270" s="63"/>
      <c r="R270" s="63"/>
      <c r="S270" s="61">
        <f>SUM(P270:R270)</f>
        <v>0</v>
      </c>
      <c r="T270" s="63">
        <v>2</v>
      </c>
      <c r="U270" s="63"/>
      <c r="V270" s="63"/>
      <c r="W270" s="61">
        <f>SUM(T270:V270)</f>
        <v>2</v>
      </c>
      <c r="X270" s="63"/>
      <c r="Y270" s="63"/>
      <c r="Z270" s="63"/>
      <c r="AA270" s="61">
        <f>SUM(X270:Z270)</f>
        <v>0</v>
      </c>
      <c r="AB270" s="63"/>
      <c r="AC270" s="63"/>
      <c r="AD270" s="63"/>
      <c r="AE270" s="61">
        <f>SUM(AB270:AD270)</f>
        <v>0</v>
      </c>
      <c r="AF270" s="68">
        <f t="shared" si="61"/>
        <v>2</v>
      </c>
    </row>
    <row r="271" spans="1:32" hidden="1" x14ac:dyDescent="0.35">
      <c r="A271" s="66" t="s">
        <v>318</v>
      </c>
      <c r="B271" s="67"/>
      <c r="C271" s="66"/>
      <c r="D271" s="66">
        <f t="shared" ref="D271:AE271" si="64">SUM(D267:D270)</f>
        <v>0</v>
      </c>
      <c r="E271" s="66">
        <f t="shared" si="64"/>
        <v>0</v>
      </c>
      <c r="F271" s="66">
        <f t="shared" si="64"/>
        <v>0</v>
      </c>
      <c r="G271" s="61">
        <f t="shared" si="64"/>
        <v>0</v>
      </c>
      <c r="H271" s="66">
        <f t="shared" si="64"/>
        <v>0</v>
      </c>
      <c r="I271" s="66">
        <f t="shared" si="64"/>
        <v>0</v>
      </c>
      <c r="J271" s="66">
        <f t="shared" si="64"/>
        <v>0</v>
      </c>
      <c r="K271" s="61">
        <f t="shared" si="64"/>
        <v>0</v>
      </c>
      <c r="L271" s="66">
        <f t="shared" si="64"/>
        <v>0</v>
      </c>
      <c r="M271" s="66">
        <f t="shared" si="64"/>
        <v>0</v>
      </c>
      <c r="N271" s="66">
        <f t="shared" si="64"/>
        <v>0</v>
      </c>
      <c r="O271" s="61">
        <f t="shared" si="64"/>
        <v>0</v>
      </c>
      <c r="P271" s="66">
        <f t="shared" si="64"/>
        <v>0</v>
      </c>
      <c r="Q271" s="66">
        <f t="shared" si="64"/>
        <v>0</v>
      </c>
      <c r="R271" s="66">
        <f t="shared" si="64"/>
        <v>0</v>
      </c>
      <c r="S271" s="61">
        <f t="shared" si="64"/>
        <v>0</v>
      </c>
      <c r="T271" s="66">
        <f t="shared" si="64"/>
        <v>2</v>
      </c>
      <c r="U271" s="66">
        <f t="shared" si="64"/>
        <v>0</v>
      </c>
      <c r="V271" s="66">
        <f t="shared" si="64"/>
        <v>0</v>
      </c>
      <c r="W271" s="61">
        <f t="shared" si="64"/>
        <v>2</v>
      </c>
      <c r="X271" s="66">
        <f t="shared" si="64"/>
        <v>1</v>
      </c>
      <c r="Y271" s="66">
        <f t="shared" si="64"/>
        <v>0</v>
      </c>
      <c r="Z271" s="66">
        <f t="shared" si="64"/>
        <v>0</v>
      </c>
      <c r="AA271" s="61">
        <f t="shared" si="64"/>
        <v>1</v>
      </c>
      <c r="AB271" s="66">
        <f t="shared" si="64"/>
        <v>0</v>
      </c>
      <c r="AC271" s="66">
        <f t="shared" si="64"/>
        <v>0</v>
      </c>
      <c r="AD271" s="66">
        <f t="shared" si="64"/>
        <v>0</v>
      </c>
      <c r="AE271" s="61">
        <f t="shared" si="64"/>
        <v>0</v>
      </c>
      <c r="AF271" s="68">
        <f t="shared" si="61"/>
        <v>3</v>
      </c>
    </row>
    <row r="272" spans="1:32" hidden="1" x14ac:dyDescent="0.35">
      <c r="A272" s="111" t="s">
        <v>323</v>
      </c>
      <c r="B272" s="54"/>
      <c r="C272" s="60" t="s">
        <v>225</v>
      </c>
      <c r="D272" s="60"/>
      <c r="E272" s="60"/>
      <c r="F272" s="60"/>
      <c r="G272" s="61">
        <f>SUM(D272:F272)</f>
        <v>0</v>
      </c>
      <c r="H272" s="60"/>
      <c r="I272" s="60"/>
      <c r="J272" s="60"/>
      <c r="K272" s="61">
        <f>SUM(H272:J272)</f>
        <v>0</v>
      </c>
      <c r="L272" s="60"/>
      <c r="M272" s="60"/>
      <c r="N272" s="60"/>
      <c r="O272" s="61">
        <f>SUM(L272:N272)</f>
        <v>0</v>
      </c>
      <c r="P272" s="60"/>
      <c r="Q272" s="60"/>
      <c r="R272" s="60"/>
      <c r="S272" s="61">
        <f>SUM(P272:R272)</f>
        <v>0</v>
      </c>
      <c r="T272" s="60"/>
      <c r="U272" s="60"/>
      <c r="V272" s="60"/>
      <c r="W272" s="61">
        <f>SUM(T272:V272)</f>
        <v>0</v>
      </c>
      <c r="X272" s="60"/>
      <c r="Y272" s="60"/>
      <c r="Z272" s="60"/>
      <c r="AA272" s="61">
        <f>SUM(X272:Z272)</f>
        <v>0</v>
      </c>
      <c r="AB272" s="60"/>
      <c r="AC272" s="60"/>
      <c r="AD272" s="60"/>
      <c r="AE272" s="61">
        <f>SUM(AB272:AD272)</f>
        <v>0</v>
      </c>
      <c r="AF272" s="68">
        <f t="shared" si="61"/>
        <v>0</v>
      </c>
    </row>
    <row r="273" spans="1:32" hidden="1" x14ac:dyDescent="0.35">
      <c r="A273" s="111"/>
      <c r="B273" s="54"/>
      <c r="C273" s="63" t="s">
        <v>227</v>
      </c>
      <c r="D273" s="63"/>
      <c r="E273" s="63"/>
      <c r="F273" s="63"/>
      <c r="G273" s="61">
        <f>SUM(D273:F273)</f>
        <v>0</v>
      </c>
      <c r="H273" s="63"/>
      <c r="I273" s="63"/>
      <c r="J273" s="63"/>
      <c r="K273" s="61">
        <f>SUM(H273:J273)</f>
        <v>0</v>
      </c>
      <c r="L273" s="63"/>
      <c r="M273" s="63"/>
      <c r="N273" s="63"/>
      <c r="O273" s="61">
        <f>SUM(L273:N273)</f>
        <v>0</v>
      </c>
      <c r="P273" s="63"/>
      <c r="Q273" s="63"/>
      <c r="R273" s="63"/>
      <c r="S273" s="61">
        <f>SUM(P273:R273)</f>
        <v>0</v>
      </c>
      <c r="T273" s="63"/>
      <c r="U273" s="63"/>
      <c r="V273" s="63"/>
      <c r="W273" s="61">
        <f>SUM(T273:V273)</f>
        <v>0</v>
      </c>
      <c r="X273" s="63"/>
      <c r="Y273" s="63"/>
      <c r="Z273" s="63"/>
      <c r="AA273" s="61">
        <f>SUM(X273:Z273)</f>
        <v>0</v>
      </c>
      <c r="AB273" s="63"/>
      <c r="AC273" s="63"/>
      <c r="AD273" s="63"/>
      <c r="AE273" s="61">
        <f>SUM(AB273:AD273)</f>
        <v>0</v>
      </c>
      <c r="AF273" s="68">
        <f t="shared" si="61"/>
        <v>0</v>
      </c>
    </row>
    <row r="274" spans="1:32" hidden="1" x14ac:dyDescent="0.35">
      <c r="A274" s="111"/>
      <c r="B274" s="54"/>
      <c r="C274" s="60" t="s">
        <v>228</v>
      </c>
      <c r="D274" s="60"/>
      <c r="E274" s="60"/>
      <c r="F274" s="60"/>
      <c r="G274" s="61">
        <f>SUM(D274:F274)</f>
        <v>0</v>
      </c>
      <c r="H274" s="60"/>
      <c r="I274" s="60"/>
      <c r="J274" s="60"/>
      <c r="K274" s="61">
        <f>SUM(H274:J274)</f>
        <v>0</v>
      </c>
      <c r="L274" s="60"/>
      <c r="M274" s="60"/>
      <c r="N274" s="60"/>
      <c r="O274" s="61">
        <f>SUM(L274:N274)</f>
        <v>0</v>
      </c>
      <c r="P274" s="60"/>
      <c r="Q274" s="60"/>
      <c r="R274" s="60"/>
      <c r="S274" s="61">
        <f>SUM(P274:R274)</f>
        <v>0</v>
      </c>
      <c r="T274" s="60"/>
      <c r="U274" s="60"/>
      <c r="V274" s="60"/>
      <c r="W274" s="61">
        <f>SUM(T274:V274)</f>
        <v>0</v>
      </c>
      <c r="X274" s="60"/>
      <c r="Y274" s="60"/>
      <c r="Z274" s="60"/>
      <c r="AA274" s="61">
        <f>SUM(X274:Z274)</f>
        <v>0</v>
      </c>
      <c r="AB274" s="60"/>
      <c r="AC274" s="60"/>
      <c r="AD274" s="60"/>
      <c r="AE274" s="61">
        <f>SUM(AB274:AD274)</f>
        <v>0</v>
      </c>
      <c r="AF274" s="68">
        <f t="shared" si="61"/>
        <v>0</v>
      </c>
    </row>
    <row r="275" spans="1:32" hidden="1" x14ac:dyDescent="0.35">
      <c r="A275" s="111"/>
      <c r="B275" s="54"/>
      <c r="C275" s="63" t="s">
        <v>235</v>
      </c>
      <c r="D275" s="63"/>
      <c r="E275" s="63"/>
      <c r="F275" s="63"/>
      <c r="G275" s="61">
        <f>SUM(D275:F275)</f>
        <v>0</v>
      </c>
      <c r="H275" s="63"/>
      <c r="I275" s="63"/>
      <c r="J275" s="63"/>
      <c r="K275" s="61">
        <f>SUM(H275:J275)</f>
        <v>0</v>
      </c>
      <c r="L275" s="63"/>
      <c r="M275" s="63"/>
      <c r="N275" s="63"/>
      <c r="O275" s="61">
        <f>SUM(L275:N275)</f>
        <v>0</v>
      </c>
      <c r="P275" s="63"/>
      <c r="Q275" s="63"/>
      <c r="R275" s="63"/>
      <c r="S275" s="61">
        <f>SUM(P275:R275)</f>
        <v>0</v>
      </c>
      <c r="T275" s="63"/>
      <c r="U275" s="63"/>
      <c r="V275" s="63"/>
      <c r="W275" s="61">
        <f>SUM(T275:V275)</f>
        <v>0</v>
      </c>
      <c r="X275" s="63"/>
      <c r="Y275" s="63"/>
      <c r="Z275" s="63"/>
      <c r="AA275" s="61">
        <f>SUM(X275:Z275)</f>
        <v>0</v>
      </c>
      <c r="AB275" s="63"/>
      <c r="AC275" s="63"/>
      <c r="AD275" s="63"/>
      <c r="AE275" s="61">
        <f>SUM(AB275:AD275)</f>
        <v>0</v>
      </c>
      <c r="AF275" s="68">
        <f t="shared" si="61"/>
        <v>0</v>
      </c>
    </row>
    <row r="276" spans="1:32" hidden="1" x14ac:dyDescent="0.35">
      <c r="A276" s="76" t="s">
        <v>328</v>
      </c>
      <c r="B276" s="67"/>
      <c r="C276" s="66"/>
      <c r="D276" s="66">
        <f t="shared" ref="D276:AE276" si="65">SUM(D272:D275)</f>
        <v>0</v>
      </c>
      <c r="E276" s="66">
        <f t="shared" si="65"/>
        <v>0</v>
      </c>
      <c r="F276" s="66">
        <f t="shared" si="65"/>
        <v>0</v>
      </c>
      <c r="G276" s="61">
        <f t="shared" si="65"/>
        <v>0</v>
      </c>
      <c r="H276" s="66">
        <f t="shared" si="65"/>
        <v>0</v>
      </c>
      <c r="I276" s="66">
        <f t="shared" si="65"/>
        <v>0</v>
      </c>
      <c r="J276" s="66">
        <f t="shared" si="65"/>
        <v>0</v>
      </c>
      <c r="K276" s="61">
        <f t="shared" si="65"/>
        <v>0</v>
      </c>
      <c r="L276" s="66">
        <f t="shared" si="65"/>
        <v>0</v>
      </c>
      <c r="M276" s="66">
        <f t="shared" si="65"/>
        <v>0</v>
      </c>
      <c r="N276" s="66">
        <f t="shared" si="65"/>
        <v>0</v>
      </c>
      <c r="O276" s="61">
        <f t="shared" si="65"/>
        <v>0</v>
      </c>
      <c r="P276" s="66">
        <f t="shared" si="65"/>
        <v>0</v>
      </c>
      <c r="Q276" s="66">
        <f t="shared" si="65"/>
        <v>0</v>
      </c>
      <c r="R276" s="66">
        <f t="shared" si="65"/>
        <v>0</v>
      </c>
      <c r="S276" s="61">
        <f t="shared" si="65"/>
        <v>0</v>
      </c>
      <c r="T276" s="66">
        <f t="shared" si="65"/>
        <v>0</v>
      </c>
      <c r="U276" s="66">
        <f t="shared" si="65"/>
        <v>0</v>
      </c>
      <c r="V276" s="66">
        <f t="shared" si="65"/>
        <v>0</v>
      </c>
      <c r="W276" s="61">
        <f t="shared" si="65"/>
        <v>0</v>
      </c>
      <c r="X276" s="66">
        <f t="shared" si="65"/>
        <v>0</v>
      </c>
      <c r="Y276" s="66">
        <f t="shared" si="65"/>
        <v>0</v>
      </c>
      <c r="Z276" s="66">
        <f t="shared" si="65"/>
        <v>0</v>
      </c>
      <c r="AA276" s="61">
        <f t="shared" si="65"/>
        <v>0</v>
      </c>
      <c r="AB276" s="66">
        <f t="shared" si="65"/>
        <v>0</v>
      </c>
      <c r="AC276" s="66">
        <f t="shared" si="65"/>
        <v>0</v>
      </c>
      <c r="AD276" s="66">
        <f t="shared" si="65"/>
        <v>0</v>
      </c>
      <c r="AE276" s="61">
        <f t="shared" si="65"/>
        <v>0</v>
      </c>
      <c r="AF276" s="68">
        <f t="shared" si="61"/>
        <v>0</v>
      </c>
    </row>
    <row r="277" spans="1:32" x14ac:dyDescent="0.35">
      <c r="A277" s="66" t="s">
        <v>327</v>
      </c>
      <c r="B277" s="67">
        <v>24</v>
      </c>
      <c r="C277" s="66"/>
      <c r="D277" s="66">
        <f t="shared" ref="D277:AE277" si="66">SUM(D276,D271)</f>
        <v>0</v>
      </c>
      <c r="E277" s="66">
        <f t="shared" si="66"/>
        <v>0</v>
      </c>
      <c r="F277" s="66">
        <f t="shared" si="66"/>
        <v>0</v>
      </c>
      <c r="G277" s="61">
        <f t="shared" si="66"/>
        <v>0</v>
      </c>
      <c r="H277" s="66">
        <f t="shared" si="66"/>
        <v>0</v>
      </c>
      <c r="I277" s="66">
        <f t="shared" si="66"/>
        <v>0</v>
      </c>
      <c r="J277" s="66">
        <f t="shared" si="66"/>
        <v>0</v>
      </c>
      <c r="K277" s="61">
        <f t="shared" si="66"/>
        <v>0</v>
      </c>
      <c r="L277" s="66">
        <f t="shared" si="66"/>
        <v>0</v>
      </c>
      <c r="M277" s="66">
        <f t="shared" si="66"/>
        <v>0</v>
      </c>
      <c r="N277" s="66">
        <f t="shared" si="66"/>
        <v>0</v>
      </c>
      <c r="O277" s="61">
        <f t="shared" si="66"/>
        <v>0</v>
      </c>
      <c r="P277" s="66">
        <f t="shared" si="66"/>
        <v>0</v>
      </c>
      <c r="Q277" s="66">
        <f t="shared" si="66"/>
        <v>0</v>
      </c>
      <c r="R277" s="66">
        <f t="shared" si="66"/>
        <v>0</v>
      </c>
      <c r="S277" s="61">
        <f t="shared" si="66"/>
        <v>0</v>
      </c>
      <c r="T277" s="66">
        <f t="shared" si="66"/>
        <v>2</v>
      </c>
      <c r="U277" s="66">
        <f t="shared" si="66"/>
        <v>0</v>
      </c>
      <c r="V277" s="66">
        <f t="shared" si="66"/>
        <v>0</v>
      </c>
      <c r="W277" s="61">
        <f t="shared" si="66"/>
        <v>2</v>
      </c>
      <c r="X277" s="66">
        <f t="shared" si="66"/>
        <v>1</v>
      </c>
      <c r="Y277" s="66">
        <f t="shared" si="66"/>
        <v>0</v>
      </c>
      <c r="Z277" s="66">
        <f t="shared" si="66"/>
        <v>0</v>
      </c>
      <c r="AA277" s="61">
        <f t="shared" si="66"/>
        <v>1</v>
      </c>
      <c r="AB277" s="66">
        <f t="shared" si="66"/>
        <v>0</v>
      </c>
      <c r="AC277" s="66">
        <f t="shared" si="66"/>
        <v>0</v>
      </c>
      <c r="AD277" s="66">
        <f t="shared" si="66"/>
        <v>0</v>
      </c>
      <c r="AE277" s="61">
        <f t="shared" si="66"/>
        <v>0</v>
      </c>
      <c r="AF277" s="68">
        <f t="shared" si="61"/>
        <v>3</v>
      </c>
    </row>
    <row r="278" spans="1:32" hidden="1" x14ac:dyDescent="0.35">
      <c r="A278" s="59" t="s">
        <v>329</v>
      </c>
      <c r="B278" s="54" t="s">
        <v>330</v>
      </c>
      <c r="C278" s="60" t="s">
        <v>225</v>
      </c>
      <c r="D278" s="60"/>
      <c r="E278" s="60"/>
      <c r="F278" s="60"/>
      <c r="G278" s="61">
        <f>SUM(D278:F278)</f>
        <v>0</v>
      </c>
      <c r="H278" s="60"/>
      <c r="I278" s="60"/>
      <c r="J278" s="60"/>
      <c r="K278" s="61">
        <f>SUM(H278:J278)</f>
        <v>0</v>
      </c>
      <c r="L278" s="60"/>
      <c r="M278" s="60"/>
      <c r="N278" s="60"/>
      <c r="O278" s="61">
        <f>SUM(L278:N278)</f>
        <v>0</v>
      </c>
      <c r="P278" s="60"/>
      <c r="Q278" s="60"/>
      <c r="R278" s="60"/>
      <c r="S278" s="61">
        <f>SUM(P278:R278)</f>
        <v>0</v>
      </c>
      <c r="T278" s="60"/>
      <c r="U278" s="60"/>
      <c r="V278" s="60"/>
      <c r="W278" s="61">
        <f>SUM(T278:V278)</f>
        <v>0</v>
      </c>
      <c r="X278" s="60"/>
      <c r="Y278" s="60"/>
      <c r="Z278" s="60"/>
      <c r="AA278" s="61">
        <f>SUM(X278:Z278)</f>
        <v>0</v>
      </c>
      <c r="AB278" s="60"/>
      <c r="AC278" s="60"/>
      <c r="AD278" s="60"/>
      <c r="AE278" s="61">
        <f>SUM(AB278:AD278)</f>
        <v>0</v>
      </c>
      <c r="AF278" s="68">
        <f t="shared" si="61"/>
        <v>0</v>
      </c>
    </row>
    <row r="279" spans="1:32" hidden="1" x14ac:dyDescent="0.35">
      <c r="A279" s="111" t="s">
        <v>343</v>
      </c>
      <c r="B279" s="54"/>
      <c r="C279" s="63" t="s">
        <v>227</v>
      </c>
      <c r="D279" s="63"/>
      <c r="E279" s="63"/>
      <c r="F279" s="63"/>
      <c r="G279" s="61">
        <f>SUM(D279:F279)</f>
        <v>0</v>
      </c>
      <c r="H279" s="63"/>
      <c r="I279" s="63"/>
      <c r="J279" s="63"/>
      <c r="K279" s="61">
        <f>SUM(H279:J279)</f>
        <v>0</v>
      </c>
      <c r="L279" s="63"/>
      <c r="M279" s="63"/>
      <c r="N279" s="63"/>
      <c r="O279" s="61">
        <f>SUM(L279:N279)</f>
        <v>0</v>
      </c>
      <c r="P279" s="63"/>
      <c r="Q279" s="63"/>
      <c r="R279" s="63"/>
      <c r="S279" s="61">
        <f>SUM(P279:R279)</f>
        <v>0</v>
      </c>
      <c r="T279" s="63"/>
      <c r="U279" s="63"/>
      <c r="V279" s="63"/>
      <c r="W279" s="61">
        <f>SUM(T279:V279)</f>
        <v>0</v>
      </c>
      <c r="X279" s="63"/>
      <c r="Y279" s="63"/>
      <c r="Z279" s="63"/>
      <c r="AA279" s="61">
        <f>SUM(X279:Z279)</f>
        <v>0</v>
      </c>
      <c r="AB279" s="63"/>
      <c r="AC279" s="63"/>
      <c r="AD279" s="63"/>
      <c r="AE279" s="61">
        <f>SUM(AB279:AD279)</f>
        <v>0</v>
      </c>
      <c r="AF279" s="68">
        <f t="shared" si="61"/>
        <v>0</v>
      </c>
    </row>
    <row r="280" spans="1:32" hidden="1" x14ac:dyDescent="0.35">
      <c r="A280" s="111"/>
      <c r="B280" s="54"/>
      <c r="C280" s="60" t="s">
        <v>228</v>
      </c>
      <c r="D280" s="60"/>
      <c r="E280" s="60"/>
      <c r="F280" s="60"/>
      <c r="G280" s="61">
        <f>SUM(D280:F280)</f>
        <v>0</v>
      </c>
      <c r="H280" s="60"/>
      <c r="I280" s="60"/>
      <c r="J280" s="60"/>
      <c r="K280" s="61">
        <f>SUM(H280:J280)</f>
        <v>0</v>
      </c>
      <c r="L280" s="60"/>
      <c r="M280" s="60"/>
      <c r="N280" s="60"/>
      <c r="O280" s="61">
        <f>SUM(L280:N280)</f>
        <v>0</v>
      </c>
      <c r="P280" s="60"/>
      <c r="Q280" s="60"/>
      <c r="R280" s="60"/>
      <c r="S280" s="61">
        <f>SUM(P280:R280)</f>
        <v>0</v>
      </c>
      <c r="T280" s="60"/>
      <c r="U280" s="60"/>
      <c r="V280" s="60"/>
      <c r="W280" s="61">
        <f>SUM(T280:V280)</f>
        <v>0</v>
      </c>
      <c r="X280" s="60"/>
      <c r="Y280" s="60"/>
      <c r="Z280" s="60"/>
      <c r="AA280" s="61">
        <f>SUM(X280:Z280)</f>
        <v>0</v>
      </c>
      <c r="AB280" s="60"/>
      <c r="AC280" s="60"/>
      <c r="AD280" s="60"/>
      <c r="AE280" s="61">
        <f>SUM(AB280:AD280)</f>
        <v>0</v>
      </c>
      <c r="AF280" s="68">
        <f t="shared" si="61"/>
        <v>0</v>
      </c>
    </row>
    <row r="281" spans="1:32" hidden="1" x14ac:dyDescent="0.35">
      <c r="A281" s="111"/>
      <c r="B281" s="54"/>
      <c r="C281" s="63" t="s">
        <v>235</v>
      </c>
      <c r="D281" s="63"/>
      <c r="E281" s="63"/>
      <c r="F281" s="63"/>
      <c r="G281" s="61">
        <f>SUM(D281:F281)</f>
        <v>0</v>
      </c>
      <c r="H281" s="63"/>
      <c r="I281" s="63"/>
      <c r="J281" s="63"/>
      <c r="K281" s="61">
        <f>SUM(H281:J281)</f>
        <v>0</v>
      </c>
      <c r="L281" s="63"/>
      <c r="M281" s="63"/>
      <c r="N281" s="63"/>
      <c r="O281" s="61">
        <f>SUM(L281:N281)</f>
        <v>0</v>
      </c>
      <c r="P281" s="63"/>
      <c r="Q281" s="63"/>
      <c r="R281" s="63"/>
      <c r="S281" s="61">
        <f>SUM(P281:R281)</f>
        <v>0</v>
      </c>
      <c r="T281" s="63"/>
      <c r="U281" s="63"/>
      <c r="V281" s="63"/>
      <c r="W281" s="61">
        <f>SUM(T281:V281)</f>
        <v>0</v>
      </c>
      <c r="X281" s="63"/>
      <c r="Y281" s="63"/>
      <c r="Z281" s="63"/>
      <c r="AA281" s="61">
        <f>SUM(X281:Z281)</f>
        <v>0</v>
      </c>
      <c r="AB281" s="63"/>
      <c r="AC281" s="63"/>
      <c r="AD281" s="63"/>
      <c r="AE281" s="61">
        <f>SUM(AB281:AD281)</f>
        <v>0</v>
      </c>
      <c r="AF281" s="68">
        <f t="shared" si="61"/>
        <v>0</v>
      </c>
    </row>
    <row r="282" spans="1:32" x14ac:dyDescent="0.35">
      <c r="A282" s="66" t="s">
        <v>329</v>
      </c>
      <c r="B282" s="67" t="s">
        <v>330</v>
      </c>
      <c r="C282" s="66"/>
      <c r="D282" s="66">
        <f t="shared" ref="D282:AE282" si="67">SUM(D278:D281)</f>
        <v>0</v>
      </c>
      <c r="E282" s="66">
        <f t="shared" si="67"/>
        <v>0</v>
      </c>
      <c r="F282" s="66">
        <f t="shared" si="67"/>
        <v>0</v>
      </c>
      <c r="G282" s="61">
        <f t="shared" si="67"/>
        <v>0</v>
      </c>
      <c r="H282" s="66">
        <f t="shared" si="67"/>
        <v>0</v>
      </c>
      <c r="I282" s="66">
        <f t="shared" si="67"/>
        <v>0</v>
      </c>
      <c r="J282" s="66">
        <f t="shared" si="67"/>
        <v>0</v>
      </c>
      <c r="K282" s="61">
        <f t="shared" si="67"/>
        <v>0</v>
      </c>
      <c r="L282" s="66">
        <f t="shared" si="67"/>
        <v>0</v>
      </c>
      <c r="M282" s="66">
        <f t="shared" si="67"/>
        <v>0</v>
      </c>
      <c r="N282" s="66">
        <f t="shared" si="67"/>
        <v>0</v>
      </c>
      <c r="O282" s="61">
        <f t="shared" si="67"/>
        <v>0</v>
      </c>
      <c r="P282" s="66">
        <f t="shared" si="67"/>
        <v>0</v>
      </c>
      <c r="Q282" s="66">
        <f t="shared" si="67"/>
        <v>0</v>
      </c>
      <c r="R282" s="66">
        <f t="shared" si="67"/>
        <v>0</v>
      </c>
      <c r="S282" s="61">
        <f t="shared" si="67"/>
        <v>0</v>
      </c>
      <c r="T282" s="66">
        <f t="shared" si="67"/>
        <v>0</v>
      </c>
      <c r="U282" s="66">
        <f t="shared" si="67"/>
        <v>0</v>
      </c>
      <c r="V282" s="66">
        <f t="shared" si="67"/>
        <v>0</v>
      </c>
      <c r="W282" s="61">
        <f t="shared" si="67"/>
        <v>0</v>
      </c>
      <c r="X282" s="66">
        <f t="shared" si="67"/>
        <v>0</v>
      </c>
      <c r="Y282" s="66">
        <f t="shared" si="67"/>
        <v>0</v>
      </c>
      <c r="Z282" s="66">
        <f t="shared" si="67"/>
        <v>0</v>
      </c>
      <c r="AA282" s="61">
        <f t="shared" si="67"/>
        <v>0</v>
      </c>
      <c r="AB282" s="66">
        <f t="shared" si="67"/>
        <v>0</v>
      </c>
      <c r="AC282" s="66">
        <f t="shared" si="67"/>
        <v>0</v>
      </c>
      <c r="AD282" s="66">
        <f t="shared" si="67"/>
        <v>0</v>
      </c>
      <c r="AE282" s="61">
        <f t="shared" si="67"/>
        <v>0</v>
      </c>
      <c r="AF282" s="68">
        <f t="shared" si="61"/>
        <v>0</v>
      </c>
    </row>
    <row r="283" spans="1:32" hidden="1" x14ac:dyDescent="0.35">
      <c r="A283" s="59" t="s">
        <v>332</v>
      </c>
      <c r="B283" s="54">
        <v>7</v>
      </c>
      <c r="C283" s="60" t="s">
        <v>225</v>
      </c>
      <c r="D283" s="60"/>
      <c r="E283" s="60"/>
      <c r="F283" s="60"/>
      <c r="G283" s="61">
        <f>SUM(D283:F283)</f>
        <v>0</v>
      </c>
      <c r="H283" s="60"/>
      <c r="I283" s="60"/>
      <c r="J283" s="60"/>
      <c r="K283" s="61">
        <f>SUM(H283:J283)</f>
        <v>0</v>
      </c>
      <c r="L283" s="60"/>
      <c r="M283" s="60"/>
      <c r="N283" s="60"/>
      <c r="O283" s="61">
        <f>SUM(L283:N283)</f>
        <v>0</v>
      </c>
      <c r="P283" s="60"/>
      <c r="Q283" s="60"/>
      <c r="R283" s="60"/>
      <c r="S283" s="61">
        <f>SUM(P283:R283)</f>
        <v>0</v>
      </c>
      <c r="T283" s="60"/>
      <c r="U283" s="60"/>
      <c r="V283" s="60"/>
      <c r="W283" s="61">
        <f>SUM(T283:V283)</f>
        <v>0</v>
      </c>
      <c r="X283" s="60"/>
      <c r="Y283" s="60"/>
      <c r="Z283" s="60"/>
      <c r="AA283" s="61">
        <f>SUM(X283:Z283)</f>
        <v>0</v>
      </c>
      <c r="AB283" s="60"/>
      <c r="AC283" s="60"/>
      <c r="AD283" s="60"/>
      <c r="AE283" s="61">
        <f>SUM(AB283:AD283)</f>
        <v>0</v>
      </c>
      <c r="AF283" s="68">
        <f t="shared" si="61"/>
        <v>0</v>
      </c>
    </row>
    <row r="284" spans="1:32" hidden="1" x14ac:dyDescent="0.35">
      <c r="A284" s="111" t="s">
        <v>284</v>
      </c>
      <c r="B284" s="54"/>
      <c r="C284" s="63" t="s">
        <v>227</v>
      </c>
      <c r="D284" s="63"/>
      <c r="E284" s="63"/>
      <c r="F284" s="63"/>
      <c r="G284" s="61">
        <f>SUM(D284:F284)</f>
        <v>0</v>
      </c>
      <c r="H284" s="63"/>
      <c r="I284" s="63"/>
      <c r="J284" s="63"/>
      <c r="K284" s="61">
        <f>SUM(H284:J284)</f>
        <v>0</v>
      </c>
      <c r="L284" s="63"/>
      <c r="M284" s="63"/>
      <c r="N284" s="63"/>
      <c r="O284" s="61">
        <f>SUM(L284:N284)</f>
        <v>0</v>
      </c>
      <c r="P284" s="63"/>
      <c r="Q284" s="63"/>
      <c r="R284" s="63"/>
      <c r="S284" s="61">
        <f>SUM(P284:R284)</f>
        <v>0</v>
      </c>
      <c r="T284" s="63"/>
      <c r="U284" s="63"/>
      <c r="V284" s="63"/>
      <c r="W284" s="61">
        <f>SUM(T284:V284)</f>
        <v>0</v>
      </c>
      <c r="X284" s="63"/>
      <c r="Y284" s="63"/>
      <c r="Z284" s="63"/>
      <c r="AA284" s="61">
        <f>SUM(X284:Z284)</f>
        <v>0</v>
      </c>
      <c r="AB284" s="63"/>
      <c r="AC284" s="63"/>
      <c r="AD284" s="63"/>
      <c r="AE284" s="61">
        <f>SUM(AB284:AD284)</f>
        <v>0</v>
      </c>
      <c r="AF284" s="68">
        <f t="shared" si="61"/>
        <v>0</v>
      </c>
    </row>
    <row r="285" spans="1:32" hidden="1" x14ac:dyDescent="0.35">
      <c r="A285" s="111"/>
      <c r="B285" s="54"/>
      <c r="C285" s="60" t="s">
        <v>228</v>
      </c>
      <c r="D285" s="60"/>
      <c r="E285" s="60"/>
      <c r="F285" s="60"/>
      <c r="G285" s="61">
        <f>SUM(D285:F285)</f>
        <v>0</v>
      </c>
      <c r="H285" s="60"/>
      <c r="I285" s="60"/>
      <c r="J285" s="60"/>
      <c r="K285" s="61">
        <f>SUM(H285:J285)</f>
        <v>0</v>
      </c>
      <c r="L285" s="60"/>
      <c r="M285" s="60"/>
      <c r="N285" s="60"/>
      <c r="O285" s="61">
        <f>SUM(L285:N285)</f>
        <v>0</v>
      </c>
      <c r="P285" s="60"/>
      <c r="Q285" s="60"/>
      <c r="R285" s="60"/>
      <c r="S285" s="61">
        <f>SUM(P285:R285)</f>
        <v>0</v>
      </c>
      <c r="T285" s="60"/>
      <c r="U285" s="60"/>
      <c r="V285" s="60"/>
      <c r="W285" s="61">
        <f>SUM(T285:V285)</f>
        <v>0</v>
      </c>
      <c r="X285" s="60"/>
      <c r="Y285" s="60"/>
      <c r="Z285" s="60"/>
      <c r="AA285" s="61">
        <f>SUM(X285:Z285)</f>
        <v>0</v>
      </c>
      <c r="AB285" s="60"/>
      <c r="AC285" s="60"/>
      <c r="AD285" s="60"/>
      <c r="AE285" s="61">
        <f>SUM(AB285:AD285)</f>
        <v>0</v>
      </c>
      <c r="AF285" s="68">
        <f t="shared" si="61"/>
        <v>0</v>
      </c>
    </row>
    <row r="286" spans="1:32" hidden="1" x14ac:dyDescent="0.35">
      <c r="A286" s="111"/>
      <c r="B286" s="54"/>
      <c r="C286" s="63" t="s">
        <v>235</v>
      </c>
      <c r="D286" s="63"/>
      <c r="E286" s="63"/>
      <c r="F286" s="63"/>
      <c r="G286" s="61">
        <f>SUM(D286:F286)</f>
        <v>0</v>
      </c>
      <c r="H286" s="63"/>
      <c r="I286" s="63"/>
      <c r="J286" s="63"/>
      <c r="K286" s="61">
        <f>SUM(H286:J286)</f>
        <v>0</v>
      </c>
      <c r="L286" s="63"/>
      <c r="M286" s="63"/>
      <c r="N286" s="63"/>
      <c r="O286" s="61">
        <f>SUM(L286:N286)</f>
        <v>0</v>
      </c>
      <c r="P286" s="63"/>
      <c r="Q286" s="63"/>
      <c r="R286" s="63"/>
      <c r="S286" s="61">
        <f>SUM(P286:R286)</f>
        <v>0</v>
      </c>
      <c r="T286" s="63"/>
      <c r="U286" s="63"/>
      <c r="V286" s="63"/>
      <c r="W286" s="61">
        <f>SUM(T286:V286)</f>
        <v>0</v>
      </c>
      <c r="X286" s="63"/>
      <c r="Y286" s="63"/>
      <c r="Z286" s="63"/>
      <c r="AA286" s="61">
        <f>SUM(X286:Z286)</f>
        <v>0</v>
      </c>
      <c r="AB286" s="63"/>
      <c r="AC286" s="63"/>
      <c r="AD286" s="63"/>
      <c r="AE286" s="61">
        <f>SUM(AB286:AD286)</f>
        <v>0</v>
      </c>
      <c r="AF286" s="68">
        <f t="shared" si="61"/>
        <v>0</v>
      </c>
    </row>
    <row r="287" spans="1:32" x14ac:dyDescent="0.35">
      <c r="A287" s="66" t="s">
        <v>332</v>
      </c>
      <c r="B287" s="67">
        <v>7</v>
      </c>
      <c r="C287" s="66"/>
      <c r="D287" s="66">
        <f t="shared" ref="D287:AE287" si="68">SUM(D283:D286)</f>
        <v>0</v>
      </c>
      <c r="E287" s="66">
        <f t="shared" si="68"/>
        <v>0</v>
      </c>
      <c r="F287" s="66">
        <f t="shared" si="68"/>
        <v>0</v>
      </c>
      <c r="G287" s="61">
        <f t="shared" si="68"/>
        <v>0</v>
      </c>
      <c r="H287" s="66">
        <f t="shared" si="68"/>
        <v>0</v>
      </c>
      <c r="I287" s="66">
        <f t="shared" si="68"/>
        <v>0</v>
      </c>
      <c r="J287" s="66">
        <f t="shared" si="68"/>
        <v>0</v>
      </c>
      <c r="K287" s="61">
        <f t="shared" si="68"/>
        <v>0</v>
      </c>
      <c r="L287" s="66">
        <f t="shared" si="68"/>
        <v>0</v>
      </c>
      <c r="M287" s="66">
        <f t="shared" si="68"/>
        <v>0</v>
      </c>
      <c r="N287" s="66">
        <f t="shared" si="68"/>
        <v>0</v>
      </c>
      <c r="O287" s="61">
        <f t="shared" si="68"/>
        <v>0</v>
      </c>
      <c r="P287" s="66">
        <f t="shared" si="68"/>
        <v>0</v>
      </c>
      <c r="Q287" s="66">
        <f t="shared" si="68"/>
        <v>0</v>
      </c>
      <c r="R287" s="66">
        <f t="shared" si="68"/>
        <v>0</v>
      </c>
      <c r="S287" s="61">
        <f t="shared" si="68"/>
        <v>0</v>
      </c>
      <c r="T287" s="66">
        <f t="shared" si="68"/>
        <v>0</v>
      </c>
      <c r="U287" s="66">
        <f t="shared" si="68"/>
        <v>0</v>
      </c>
      <c r="V287" s="66">
        <f t="shared" si="68"/>
        <v>0</v>
      </c>
      <c r="W287" s="61">
        <f t="shared" si="68"/>
        <v>0</v>
      </c>
      <c r="X287" s="66">
        <f t="shared" si="68"/>
        <v>0</v>
      </c>
      <c r="Y287" s="66">
        <f t="shared" si="68"/>
        <v>0</v>
      </c>
      <c r="Z287" s="66">
        <f t="shared" si="68"/>
        <v>0</v>
      </c>
      <c r="AA287" s="61">
        <f t="shared" si="68"/>
        <v>0</v>
      </c>
      <c r="AB287" s="66">
        <f t="shared" si="68"/>
        <v>0</v>
      </c>
      <c r="AC287" s="66">
        <f t="shared" si="68"/>
        <v>0</v>
      </c>
      <c r="AD287" s="66">
        <f t="shared" si="68"/>
        <v>0</v>
      </c>
      <c r="AE287" s="61">
        <f t="shared" si="68"/>
        <v>0</v>
      </c>
      <c r="AF287" s="68">
        <f t="shared" si="61"/>
        <v>0</v>
      </c>
    </row>
    <row r="288" spans="1:32" hidden="1" x14ac:dyDescent="0.35">
      <c r="A288" s="59" t="s">
        <v>113</v>
      </c>
      <c r="B288" s="54">
        <v>5</v>
      </c>
      <c r="C288" s="60" t="s">
        <v>225</v>
      </c>
      <c r="D288" s="60"/>
      <c r="E288" s="60"/>
      <c r="F288" s="60"/>
      <c r="G288" s="61">
        <f>SUM(D288:F288)</f>
        <v>0</v>
      </c>
      <c r="H288" s="60"/>
      <c r="I288" s="60"/>
      <c r="J288" s="60"/>
      <c r="K288" s="61">
        <f>SUM(H288:J288)</f>
        <v>0</v>
      </c>
      <c r="L288" s="60"/>
      <c r="M288" s="60"/>
      <c r="N288" s="60"/>
      <c r="O288" s="61">
        <f>SUM(L288:N288)</f>
        <v>0</v>
      </c>
      <c r="P288" s="60"/>
      <c r="Q288" s="60"/>
      <c r="R288" s="60"/>
      <c r="S288" s="61">
        <f>SUM(P288:R288)</f>
        <v>0</v>
      </c>
      <c r="T288" s="60"/>
      <c r="U288" s="60"/>
      <c r="V288" s="60"/>
      <c r="W288" s="61">
        <f>SUM(T288:V288)</f>
        <v>0</v>
      </c>
      <c r="X288" s="60"/>
      <c r="Y288" s="60"/>
      <c r="Z288" s="60"/>
      <c r="AA288" s="61">
        <f>SUM(X288:Z288)</f>
        <v>0</v>
      </c>
      <c r="AB288" s="60"/>
      <c r="AC288" s="60"/>
      <c r="AD288" s="60"/>
      <c r="AE288" s="61">
        <f>SUM(AB288:AD288)</f>
        <v>0</v>
      </c>
      <c r="AF288" s="68">
        <f t="shared" si="61"/>
        <v>0</v>
      </c>
    </row>
    <row r="289" spans="1:32" hidden="1" x14ac:dyDescent="0.35">
      <c r="A289" s="111" t="s">
        <v>238</v>
      </c>
      <c r="B289" s="54"/>
      <c r="C289" s="63" t="s">
        <v>227</v>
      </c>
      <c r="D289" s="63"/>
      <c r="E289" s="63"/>
      <c r="F289" s="63"/>
      <c r="G289" s="61">
        <f>SUM(D289:F289)</f>
        <v>0</v>
      </c>
      <c r="H289" s="63"/>
      <c r="I289" s="63"/>
      <c r="J289" s="63"/>
      <c r="K289" s="61">
        <f>SUM(H289:J289)</f>
        <v>0</v>
      </c>
      <c r="L289" s="63"/>
      <c r="M289" s="63"/>
      <c r="N289" s="63"/>
      <c r="O289" s="61">
        <f>SUM(L289:N289)</f>
        <v>0</v>
      </c>
      <c r="P289" s="63"/>
      <c r="Q289" s="63"/>
      <c r="R289" s="63"/>
      <c r="S289" s="61">
        <f>SUM(P289:R289)</f>
        <v>0</v>
      </c>
      <c r="T289" s="63">
        <v>2</v>
      </c>
      <c r="U289" s="63"/>
      <c r="V289" s="63"/>
      <c r="W289" s="61">
        <f>SUM(T289:V289)</f>
        <v>2</v>
      </c>
      <c r="X289" s="63"/>
      <c r="Y289" s="63"/>
      <c r="Z289" s="63"/>
      <c r="AA289" s="61">
        <f>SUM(X289:Z289)</f>
        <v>0</v>
      </c>
      <c r="AB289" s="63"/>
      <c r="AC289" s="63"/>
      <c r="AD289" s="63"/>
      <c r="AE289" s="61">
        <f>SUM(AB289:AD289)</f>
        <v>0</v>
      </c>
      <c r="AF289" s="68">
        <f t="shared" si="61"/>
        <v>2</v>
      </c>
    </row>
    <row r="290" spans="1:32" hidden="1" x14ac:dyDescent="0.35">
      <c r="A290" s="111"/>
      <c r="B290" s="54"/>
      <c r="C290" s="60" t="s">
        <v>228</v>
      </c>
      <c r="D290" s="60"/>
      <c r="E290" s="60"/>
      <c r="F290" s="60"/>
      <c r="G290" s="61">
        <f>SUM(D290:F290)</f>
        <v>0</v>
      </c>
      <c r="H290" s="60"/>
      <c r="I290" s="60"/>
      <c r="J290" s="60"/>
      <c r="K290" s="61">
        <f>SUM(H290:J290)</f>
        <v>0</v>
      </c>
      <c r="L290" s="60"/>
      <c r="M290" s="60"/>
      <c r="N290" s="60"/>
      <c r="O290" s="61">
        <f>SUM(L290:N290)</f>
        <v>0</v>
      </c>
      <c r="P290" s="60"/>
      <c r="Q290" s="60"/>
      <c r="R290" s="60"/>
      <c r="S290" s="61">
        <f>SUM(P290:R290)</f>
        <v>0</v>
      </c>
      <c r="T290" s="60"/>
      <c r="U290" s="60"/>
      <c r="V290" s="60"/>
      <c r="W290" s="61">
        <f>SUM(T290:V290)</f>
        <v>0</v>
      </c>
      <c r="X290" s="60"/>
      <c r="Y290" s="60"/>
      <c r="Z290" s="60"/>
      <c r="AA290" s="61">
        <f>SUM(X290:Z290)</f>
        <v>0</v>
      </c>
      <c r="AB290" s="60"/>
      <c r="AC290" s="60"/>
      <c r="AD290" s="60"/>
      <c r="AE290" s="61">
        <f>SUM(AB290:AD290)</f>
        <v>0</v>
      </c>
      <c r="AF290" s="68">
        <f t="shared" si="61"/>
        <v>0</v>
      </c>
    </row>
    <row r="291" spans="1:32" hidden="1" x14ac:dyDescent="0.35">
      <c r="A291" s="111"/>
      <c r="B291" s="54"/>
      <c r="C291" s="63" t="s">
        <v>235</v>
      </c>
      <c r="D291" s="63"/>
      <c r="E291" s="63"/>
      <c r="F291" s="63"/>
      <c r="G291" s="61">
        <f>SUM(D291:F291)</f>
        <v>0</v>
      </c>
      <c r="H291" s="63"/>
      <c r="I291" s="63"/>
      <c r="J291" s="63"/>
      <c r="K291" s="61">
        <f>SUM(H291:J291)</f>
        <v>0</v>
      </c>
      <c r="L291" s="63"/>
      <c r="M291" s="63"/>
      <c r="N291" s="63"/>
      <c r="O291" s="61">
        <f>SUM(L291:N291)</f>
        <v>0</v>
      </c>
      <c r="P291" s="63"/>
      <c r="Q291" s="63"/>
      <c r="R291" s="63"/>
      <c r="S291" s="61">
        <f>SUM(P291:R291)</f>
        <v>0</v>
      </c>
      <c r="T291" s="63"/>
      <c r="U291" s="63"/>
      <c r="V291" s="63"/>
      <c r="W291" s="61">
        <f>SUM(T291:V291)</f>
        <v>0</v>
      </c>
      <c r="X291" s="63"/>
      <c r="Y291" s="63">
        <v>1</v>
      </c>
      <c r="Z291" s="63"/>
      <c r="AA291" s="61">
        <f>SUM(X291:Z291)</f>
        <v>1</v>
      </c>
      <c r="AB291" s="63"/>
      <c r="AC291" s="63"/>
      <c r="AD291" s="63"/>
      <c r="AE291" s="61">
        <f>SUM(AB291:AD291)</f>
        <v>0</v>
      </c>
      <c r="AF291" s="68">
        <f t="shared" si="61"/>
        <v>1</v>
      </c>
    </row>
    <row r="292" spans="1:32" x14ac:dyDescent="0.35">
      <c r="A292" s="66" t="s">
        <v>113</v>
      </c>
      <c r="B292" s="67">
        <v>5</v>
      </c>
      <c r="C292" s="66"/>
      <c r="D292" s="66">
        <f t="shared" ref="D292:AE292" si="69">SUM(D288:D291)</f>
        <v>0</v>
      </c>
      <c r="E292" s="66">
        <f t="shared" si="69"/>
        <v>0</v>
      </c>
      <c r="F292" s="66">
        <f t="shared" si="69"/>
        <v>0</v>
      </c>
      <c r="G292" s="61">
        <f t="shared" si="69"/>
        <v>0</v>
      </c>
      <c r="H292" s="66">
        <f t="shared" si="69"/>
        <v>0</v>
      </c>
      <c r="I292" s="66">
        <f t="shared" si="69"/>
        <v>0</v>
      </c>
      <c r="J292" s="66">
        <f t="shared" si="69"/>
        <v>0</v>
      </c>
      <c r="K292" s="61">
        <f t="shared" si="69"/>
        <v>0</v>
      </c>
      <c r="L292" s="66">
        <f t="shared" si="69"/>
        <v>0</v>
      </c>
      <c r="M292" s="66">
        <f t="shared" si="69"/>
        <v>0</v>
      </c>
      <c r="N292" s="66">
        <f t="shared" si="69"/>
        <v>0</v>
      </c>
      <c r="O292" s="61">
        <f t="shared" si="69"/>
        <v>0</v>
      </c>
      <c r="P292" s="66">
        <f t="shared" si="69"/>
        <v>0</v>
      </c>
      <c r="Q292" s="66">
        <f t="shared" si="69"/>
        <v>0</v>
      </c>
      <c r="R292" s="66">
        <f t="shared" si="69"/>
        <v>0</v>
      </c>
      <c r="S292" s="61">
        <f t="shared" si="69"/>
        <v>0</v>
      </c>
      <c r="T292" s="66">
        <f t="shared" si="69"/>
        <v>2</v>
      </c>
      <c r="U292" s="66">
        <f t="shared" si="69"/>
        <v>0</v>
      </c>
      <c r="V292" s="66">
        <f t="shared" si="69"/>
        <v>0</v>
      </c>
      <c r="W292" s="61">
        <f t="shared" si="69"/>
        <v>2</v>
      </c>
      <c r="X292" s="66">
        <f t="shared" si="69"/>
        <v>0</v>
      </c>
      <c r="Y292" s="66">
        <f t="shared" si="69"/>
        <v>1</v>
      </c>
      <c r="Z292" s="66">
        <f t="shared" si="69"/>
        <v>0</v>
      </c>
      <c r="AA292" s="61">
        <f t="shared" si="69"/>
        <v>1</v>
      </c>
      <c r="AB292" s="66">
        <f t="shared" si="69"/>
        <v>0</v>
      </c>
      <c r="AC292" s="66">
        <f t="shared" si="69"/>
        <v>0</v>
      </c>
      <c r="AD292" s="66">
        <f t="shared" si="69"/>
        <v>0</v>
      </c>
      <c r="AE292" s="61">
        <f t="shared" si="69"/>
        <v>0</v>
      </c>
      <c r="AF292" s="68">
        <f t="shared" si="61"/>
        <v>3</v>
      </c>
    </row>
    <row r="293" spans="1:32" hidden="1" x14ac:dyDescent="0.35">
      <c r="A293" s="59" t="s">
        <v>333</v>
      </c>
      <c r="B293" s="54">
        <v>4</v>
      </c>
      <c r="C293" s="60" t="s">
        <v>225</v>
      </c>
      <c r="D293" s="60"/>
      <c r="E293" s="60"/>
      <c r="F293" s="60"/>
      <c r="G293" s="61">
        <f>SUM(D293:F293)</f>
        <v>0</v>
      </c>
      <c r="H293" s="60"/>
      <c r="I293" s="60"/>
      <c r="J293" s="60"/>
      <c r="K293" s="61">
        <f>SUM(H293:J293)</f>
        <v>0</v>
      </c>
      <c r="L293" s="60"/>
      <c r="M293" s="60"/>
      <c r="N293" s="60"/>
      <c r="O293" s="61">
        <f>SUM(L293:N293)</f>
        <v>0</v>
      </c>
      <c r="P293" s="60"/>
      <c r="Q293" s="60"/>
      <c r="R293" s="60"/>
      <c r="S293" s="61">
        <f>SUM(P293:R293)</f>
        <v>0</v>
      </c>
      <c r="T293" s="60"/>
      <c r="U293" s="60"/>
      <c r="V293" s="60"/>
      <c r="W293" s="61">
        <f>SUM(T293:V293)</f>
        <v>0</v>
      </c>
      <c r="X293" s="60"/>
      <c r="Y293" s="60"/>
      <c r="Z293" s="60"/>
      <c r="AA293" s="61">
        <f>SUM(X293:Z293)</f>
        <v>0</v>
      </c>
      <c r="AB293" s="60"/>
      <c r="AC293" s="60"/>
      <c r="AD293" s="60"/>
      <c r="AE293" s="61">
        <f>SUM(AB293:AD293)</f>
        <v>0</v>
      </c>
      <c r="AF293" s="68">
        <f t="shared" si="61"/>
        <v>0</v>
      </c>
    </row>
    <row r="294" spans="1:32" hidden="1" x14ac:dyDescent="0.35">
      <c r="A294" s="111" t="s">
        <v>238</v>
      </c>
      <c r="B294" s="54"/>
      <c r="C294" s="63" t="s">
        <v>227</v>
      </c>
      <c r="D294" s="63"/>
      <c r="E294" s="63"/>
      <c r="F294" s="63"/>
      <c r="G294" s="61">
        <f>SUM(D294:F294)</f>
        <v>0</v>
      </c>
      <c r="H294" s="63"/>
      <c r="I294" s="63"/>
      <c r="J294" s="63"/>
      <c r="K294" s="61">
        <f>SUM(H294:J294)</f>
        <v>0</v>
      </c>
      <c r="L294" s="63"/>
      <c r="M294" s="63"/>
      <c r="N294" s="63"/>
      <c r="O294" s="61">
        <f>SUM(L294:N294)</f>
        <v>0</v>
      </c>
      <c r="P294" s="63"/>
      <c r="Q294" s="63"/>
      <c r="R294" s="63"/>
      <c r="S294" s="61">
        <f>SUM(P294:R294)</f>
        <v>0</v>
      </c>
      <c r="T294" s="63"/>
      <c r="U294" s="63"/>
      <c r="V294" s="63"/>
      <c r="W294" s="61">
        <f>SUM(T294:V294)</f>
        <v>0</v>
      </c>
      <c r="X294" s="63"/>
      <c r="Y294" s="63"/>
      <c r="Z294" s="63"/>
      <c r="AA294" s="61">
        <f>SUM(X294:Z294)</f>
        <v>0</v>
      </c>
      <c r="AB294" s="63"/>
      <c r="AC294" s="63"/>
      <c r="AD294" s="63"/>
      <c r="AE294" s="61">
        <f>SUM(AB294:AD294)</f>
        <v>0</v>
      </c>
      <c r="AF294" s="68">
        <f t="shared" si="61"/>
        <v>0</v>
      </c>
    </row>
    <row r="295" spans="1:32" hidden="1" x14ac:dyDescent="0.35">
      <c r="A295" s="111"/>
      <c r="B295" s="54"/>
      <c r="C295" s="60" t="s">
        <v>228</v>
      </c>
      <c r="D295" s="60"/>
      <c r="E295" s="60"/>
      <c r="F295" s="60"/>
      <c r="G295" s="61">
        <f>SUM(D295:F295)</f>
        <v>0</v>
      </c>
      <c r="H295" s="60"/>
      <c r="I295" s="60"/>
      <c r="J295" s="60"/>
      <c r="K295" s="61">
        <f>SUM(H295:J295)</f>
        <v>0</v>
      </c>
      <c r="L295" s="60"/>
      <c r="M295" s="60"/>
      <c r="N295" s="60"/>
      <c r="O295" s="61">
        <f>SUM(L295:N295)</f>
        <v>0</v>
      </c>
      <c r="P295" s="60"/>
      <c r="Q295" s="60"/>
      <c r="R295" s="60"/>
      <c r="S295" s="61">
        <f>SUM(P295:R295)</f>
        <v>0</v>
      </c>
      <c r="T295" s="60"/>
      <c r="U295" s="60"/>
      <c r="V295" s="60"/>
      <c r="W295" s="61">
        <f>SUM(T295:V295)</f>
        <v>0</v>
      </c>
      <c r="X295" s="60"/>
      <c r="Y295" s="60"/>
      <c r="Z295" s="60"/>
      <c r="AA295" s="61">
        <f>SUM(X295:Z295)</f>
        <v>0</v>
      </c>
      <c r="AB295" s="60"/>
      <c r="AC295" s="60"/>
      <c r="AD295" s="60"/>
      <c r="AE295" s="61">
        <f>SUM(AB295:AD295)</f>
        <v>0</v>
      </c>
      <c r="AF295" s="68">
        <f t="shared" si="61"/>
        <v>0</v>
      </c>
    </row>
    <row r="296" spans="1:32" hidden="1" x14ac:dyDescent="0.35">
      <c r="A296" s="111"/>
      <c r="B296" s="54"/>
      <c r="C296" s="63" t="s">
        <v>235</v>
      </c>
      <c r="D296" s="63"/>
      <c r="E296" s="63"/>
      <c r="F296" s="63"/>
      <c r="G296" s="61">
        <f>SUM(D296:F296)</f>
        <v>0</v>
      </c>
      <c r="H296" s="63"/>
      <c r="I296" s="63"/>
      <c r="J296" s="63"/>
      <c r="K296" s="61">
        <f>SUM(H296:J296)</f>
        <v>0</v>
      </c>
      <c r="L296" s="63"/>
      <c r="M296" s="63"/>
      <c r="N296" s="63"/>
      <c r="O296" s="61">
        <f>SUM(L296:N296)</f>
        <v>0</v>
      </c>
      <c r="P296" s="63"/>
      <c r="Q296" s="63"/>
      <c r="R296" s="63"/>
      <c r="S296" s="61">
        <f>SUM(P296:R296)</f>
        <v>0</v>
      </c>
      <c r="T296" s="63"/>
      <c r="U296" s="63"/>
      <c r="V296" s="63"/>
      <c r="W296" s="61">
        <f>SUM(T296:V296)</f>
        <v>0</v>
      </c>
      <c r="X296" s="63"/>
      <c r="Y296" s="63"/>
      <c r="Z296" s="63"/>
      <c r="AA296" s="61">
        <f>SUM(X296:Z296)</f>
        <v>0</v>
      </c>
      <c r="AB296" s="63"/>
      <c r="AC296" s="63"/>
      <c r="AD296" s="63"/>
      <c r="AE296" s="61">
        <f>SUM(AB296:AD296)</f>
        <v>0</v>
      </c>
      <c r="AF296" s="68">
        <f t="shared" si="61"/>
        <v>0</v>
      </c>
    </row>
    <row r="297" spans="1:32" x14ac:dyDescent="0.35">
      <c r="A297" s="66" t="s">
        <v>333</v>
      </c>
      <c r="B297" s="67">
        <v>4</v>
      </c>
      <c r="C297" s="66"/>
      <c r="D297" s="66">
        <f t="shared" ref="D297:AE297" si="70">SUM(D293:D296)</f>
        <v>0</v>
      </c>
      <c r="E297" s="66">
        <f t="shared" si="70"/>
        <v>0</v>
      </c>
      <c r="F297" s="66">
        <f t="shared" si="70"/>
        <v>0</v>
      </c>
      <c r="G297" s="61">
        <f t="shared" si="70"/>
        <v>0</v>
      </c>
      <c r="H297" s="66">
        <f t="shared" si="70"/>
        <v>0</v>
      </c>
      <c r="I297" s="66">
        <f t="shared" si="70"/>
        <v>0</v>
      </c>
      <c r="J297" s="66">
        <f t="shared" si="70"/>
        <v>0</v>
      </c>
      <c r="K297" s="61">
        <f t="shared" si="70"/>
        <v>0</v>
      </c>
      <c r="L297" s="66">
        <f t="shared" si="70"/>
        <v>0</v>
      </c>
      <c r="M297" s="66">
        <f t="shared" si="70"/>
        <v>0</v>
      </c>
      <c r="N297" s="66">
        <f t="shared" si="70"/>
        <v>0</v>
      </c>
      <c r="O297" s="61">
        <f t="shared" si="70"/>
        <v>0</v>
      </c>
      <c r="P297" s="66">
        <f t="shared" si="70"/>
        <v>0</v>
      </c>
      <c r="Q297" s="66">
        <f t="shared" si="70"/>
        <v>0</v>
      </c>
      <c r="R297" s="66">
        <f t="shared" si="70"/>
        <v>0</v>
      </c>
      <c r="S297" s="61">
        <f t="shared" si="70"/>
        <v>0</v>
      </c>
      <c r="T297" s="66">
        <f t="shared" si="70"/>
        <v>0</v>
      </c>
      <c r="U297" s="66">
        <f t="shared" si="70"/>
        <v>0</v>
      </c>
      <c r="V297" s="66">
        <f t="shared" si="70"/>
        <v>0</v>
      </c>
      <c r="W297" s="61">
        <f t="shared" si="70"/>
        <v>0</v>
      </c>
      <c r="X297" s="66">
        <f t="shared" si="70"/>
        <v>0</v>
      </c>
      <c r="Y297" s="66">
        <f t="shared" si="70"/>
        <v>0</v>
      </c>
      <c r="Z297" s="66">
        <f t="shared" si="70"/>
        <v>0</v>
      </c>
      <c r="AA297" s="61">
        <f t="shared" si="70"/>
        <v>0</v>
      </c>
      <c r="AB297" s="66">
        <f t="shared" si="70"/>
        <v>0</v>
      </c>
      <c r="AC297" s="66">
        <f t="shared" si="70"/>
        <v>0</v>
      </c>
      <c r="AD297" s="66">
        <f t="shared" si="70"/>
        <v>0</v>
      </c>
      <c r="AE297" s="61">
        <f t="shared" si="70"/>
        <v>0</v>
      </c>
      <c r="AF297" s="68">
        <f t="shared" si="61"/>
        <v>0</v>
      </c>
    </row>
    <row r="298" spans="1:32" hidden="1" x14ac:dyDescent="0.35">
      <c r="A298" s="59" t="s">
        <v>334</v>
      </c>
      <c r="B298" s="54" t="s">
        <v>261</v>
      </c>
      <c r="C298" s="60" t="s">
        <v>225</v>
      </c>
      <c r="D298" s="60"/>
      <c r="E298" s="60"/>
      <c r="F298" s="60"/>
      <c r="G298" s="61">
        <f>SUM(D298:F298)</f>
        <v>0</v>
      </c>
      <c r="H298" s="60"/>
      <c r="I298" s="60"/>
      <c r="J298" s="60"/>
      <c r="K298" s="61">
        <f>SUM(H298:J298)</f>
        <v>0</v>
      </c>
      <c r="L298" s="60"/>
      <c r="M298" s="60"/>
      <c r="N298" s="60"/>
      <c r="O298" s="61">
        <f>SUM(L298:N298)</f>
        <v>0</v>
      </c>
      <c r="P298" s="60"/>
      <c r="Q298" s="60"/>
      <c r="R298" s="60"/>
      <c r="S298" s="61">
        <f>SUM(P298:R298)</f>
        <v>0</v>
      </c>
      <c r="T298" s="60">
        <v>3</v>
      </c>
      <c r="U298" s="60"/>
      <c r="V298" s="60"/>
      <c r="W298" s="61">
        <f>SUM(T298:V298)</f>
        <v>3</v>
      </c>
      <c r="X298" s="60"/>
      <c r="Y298" s="60"/>
      <c r="Z298" s="60"/>
      <c r="AA298" s="61">
        <f>SUM(X298:Z298)</f>
        <v>0</v>
      </c>
      <c r="AB298" s="60"/>
      <c r="AC298" s="60"/>
      <c r="AD298" s="60"/>
      <c r="AE298" s="61">
        <f>SUM(AB298:AD298)</f>
        <v>0</v>
      </c>
      <c r="AF298" s="68">
        <f t="shared" si="61"/>
        <v>3</v>
      </c>
    </row>
    <row r="299" spans="1:32" hidden="1" x14ac:dyDescent="0.35">
      <c r="A299" s="111" t="s">
        <v>260</v>
      </c>
      <c r="B299" s="54"/>
      <c r="C299" s="63" t="s">
        <v>227</v>
      </c>
      <c r="D299" s="63"/>
      <c r="E299" s="63"/>
      <c r="F299" s="63"/>
      <c r="G299" s="61">
        <f>SUM(D299:F299)</f>
        <v>0</v>
      </c>
      <c r="H299" s="63"/>
      <c r="I299" s="63"/>
      <c r="J299" s="63"/>
      <c r="K299" s="61">
        <f>SUM(H299:J299)</f>
        <v>0</v>
      </c>
      <c r="L299" s="63"/>
      <c r="M299" s="63"/>
      <c r="N299" s="63"/>
      <c r="O299" s="61">
        <f>SUM(L299:N299)</f>
        <v>0</v>
      </c>
      <c r="P299" s="63"/>
      <c r="Q299" s="63"/>
      <c r="R299" s="63"/>
      <c r="S299" s="61">
        <f>SUM(P299:R299)</f>
        <v>0</v>
      </c>
      <c r="T299" s="63">
        <v>9</v>
      </c>
      <c r="U299" s="63">
        <v>3</v>
      </c>
      <c r="V299" s="63"/>
      <c r="W299" s="61">
        <f>SUM(T299:V299)</f>
        <v>12</v>
      </c>
      <c r="X299" s="63"/>
      <c r="Y299" s="63"/>
      <c r="Z299" s="63"/>
      <c r="AA299" s="61">
        <f>SUM(X299:Z299)</f>
        <v>0</v>
      </c>
      <c r="AB299" s="63"/>
      <c r="AC299" s="63"/>
      <c r="AD299" s="63"/>
      <c r="AE299" s="61">
        <f>SUM(AB299:AD299)</f>
        <v>0</v>
      </c>
      <c r="AF299" s="68">
        <f t="shared" si="61"/>
        <v>12</v>
      </c>
    </row>
    <row r="300" spans="1:32" hidden="1" x14ac:dyDescent="0.35">
      <c r="A300" s="111"/>
      <c r="B300" s="54"/>
      <c r="C300" s="60" t="s">
        <v>228</v>
      </c>
      <c r="D300" s="60"/>
      <c r="E300" s="60"/>
      <c r="F300" s="60"/>
      <c r="G300" s="61">
        <f>SUM(D300:F300)</f>
        <v>0</v>
      </c>
      <c r="H300" s="60"/>
      <c r="I300" s="60"/>
      <c r="J300" s="60"/>
      <c r="K300" s="61">
        <f>SUM(H300:J300)</f>
        <v>0</v>
      </c>
      <c r="L300" s="60"/>
      <c r="M300" s="60"/>
      <c r="N300" s="60"/>
      <c r="O300" s="61">
        <f>SUM(L300:N300)</f>
        <v>0</v>
      </c>
      <c r="P300" s="60"/>
      <c r="Q300" s="60"/>
      <c r="R300" s="60"/>
      <c r="S300" s="61">
        <f>SUM(P300:R300)</f>
        <v>0</v>
      </c>
      <c r="T300" s="60">
        <v>3</v>
      </c>
      <c r="U300" s="60"/>
      <c r="V300" s="60"/>
      <c r="W300" s="61">
        <f>SUM(T300:V300)</f>
        <v>3</v>
      </c>
      <c r="X300" s="60"/>
      <c r="Y300" s="60"/>
      <c r="Z300" s="60"/>
      <c r="AA300" s="61">
        <f>SUM(X300:Z300)</f>
        <v>0</v>
      </c>
      <c r="AB300" s="60"/>
      <c r="AC300" s="60"/>
      <c r="AD300" s="60"/>
      <c r="AE300" s="61">
        <f>SUM(AB300:AD300)</f>
        <v>0</v>
      </c>
      <c r="AF300" s="68">
        <f t="shared" si="61"/>
        <v>3</v>
      </c>
    </row>
    <row r="301" spans="1:32" hidden="1" x14ac:dyDescent="0.35">
      <c r="A301" s="111"/>
      <c r="B301" s="54"/>
      <c r="C301" s="63" t="s">
        <v>235</v>
      </c>
      <c r="D301" s="63"/>
      <c r="E301" s="63"/>
      <c r="F301" s="63"/>
      <c r="G301" s="61">
        <f>SUM(D301:F301)</f>
        <v>0</v>
      </c>
      <c r="H301" s="63"/>
      <c r="I301" s="63"/>
      <c r="J301" s="63"/>
      <c r="K301" s="61">
        <f>SUM(H301:J301)</f>
        <v>0</v>
      </c>
      <c r="L301" s="63"/>
      <c r="M301" s="63"/>
      <c r="N301" s="63"/>
      <c r="O301" s="61">
        <f>SUM(L301:N301)</f>
        <v>0</v>
      </c>
      <c r="P301" s="63">
        <v>4</v>
      </c>
      <c r="Q301" s="63"/>
      <c r="R301" s="63"/>
      <c r="S301" s="61">
        <f>SUM(P301:R301)</f>
        <v>4</v>
      </c>
      <c r="T301" s="63"/>
      <c r="U301" s="63"/>
      <c r="V301" s="63"/>
      <c r="W301" s="61">
        <f>SUM(T301:V301)</f>
        <v>0</v>
      </c>
      <c r="X301" s="63"/>
      <c r="Y301" s="63"/>
      <c r="Z301" s="63"/>
      <c r="AA301" s="61">
        <f>SUM(X301:Z301)</f>
        <v>0</v>
      </c>
      <c r="AB301" s="63"/>
      <c r="AC301" s="63"/>
      <c r="AD301" s="63"/>
      <c r="AE301" s="61">
        <f>SUM(AB301:AD301)</f>
        <v>0</v>
      </c>
      <c r="AF301" s="68">
        <f t="shared" si="61"/>
        <v>4</v>
      </c>
    </row>
    <row r="302" spans="1:32" x14ac:dyDescent="0.35">
      <c r="A302" s="66" t="s">
        <v>334</v>
      </c>
      <c r="B302" s="67" t="s">
        <v>261</v>
      </c>
      <c r="C302" s="66"/>
      <c r="D302" s="66">
        <f t="shared" ref="D302:AE302" si="71">SUM(D298:D301)</f>
        <v>0</v>
      </c>
      <c r="E302" s="66">
        <f t="shared" si="71"/>
        <v>0</v>
      </c>
      <c r="F302" s="66">
        <f t="shared" si="71"/>
        <v>0</v>
      </c>
      <c r="G302" s="61">
        <f t="shared" si="71"/>
        <v>0</v>
      </c>
      <c r="H302" s="66">
        <f t="shared" si="71"/>
        <v>0</v>
      </c>
      <c r="I302" s="66">
        <f t="shared" si="71"/>
        <v>0</v>
      </c>
      <c r="J302" s="66">
        <f t="shared" si="71"/>
        <v>0</v>
      </c>
      <c r="K302" s="61">
        <f t="shared" si="71"/>
        <v>0</v>
      </c>
      <c r="L302" s="66">
        <f t="shared" si="71"/>
        <v>0</v>
      </c>
      <c r="M302" s="66">
        <f t="shared" si="71"/>
        <v>0</v>
      </c>
      <c r="N302" s="66">
        <f t="shared" si="71"/>
        <v>0</v>
      </c>
      <c r="O302" s="61">
        <f t="shared" si="71"/>
        <v>0</v>
      </c>
      <c r="P302" s="66">
        <f t="shared" si="71"/>
        <v>4</v>
      </c>
      <c r="Q302" s="66">
        <f t="shared" si="71"/>
        <v>0</v>
      </c>
      <c r="R302" s="66">
        <f t="shared" si="71"/>
        <v>0</v>
      </c>
      <c r="S302" s="61">
        <f t="shared" si="71"/>
        <v>4</v>
      </c>
      <c r="T302" s="66">
        <f t="shared" si="71"/>
        <v>15</v>
      </c>
      <c r="U302" s="66">
        <f t="shared" si="71"/>
        <v>3</v>
      </c>
      <c r="V302" s="66">
        <f t="shared" si="71"/>
        <v>0</v>
      </c>
      <c r="W302" s="61">
        <f t="shared" si="71"/>
        <v>18</v>
      </c>
      <c r="X302" s="66">
        <f t="shared" si="71"/>
        <v>0</v>
      </c>
      <c r="Y302" s="66">
        <f t="shared" si="71"/>
        <v>0</v>
      </c>
      <c r="Z302" s="66">
        <f t="shared" si="71"/>
        <v>0</v>
      </c>
      <c r="AA302" s="61">
        <f t="shared" si="71"/>
        <v>0</v>
      </c>
      <c r="AB302" s="66">
        <f t="shared" si="71"/>
        <v>0</v>
      </c>
      <c r="AC302" s="66">
        <f t="shared" si="71"/>
        <v>0</v>
      </c>
      <c r="AD302" s="66">
        <f t="shared" si="71"/>
        <v>0</v>
      </c>
      <c r="AE302" s="61">
        <f t="shared" si="71"/>
        <v>0</v>
      </c>
      <c r="AF302" s="68">
        <f t="shared" si="61"/>
        <v>22</v>
      </c>
    </row>
    <row r="303" spans="1:32" hidden="1" x14ac:dyDescent="0.35">
      <c r="A303" s="59" t="s">
        <v>335</v>
      </c>
      <c r="B303" s="54" t="s">
        <v>255</v>
      </c>
      <c r="C303" s="60" t="s">
        <v>225</v>
      </c>
      <c r="D303" s="60"/>
      <c r="E303" s="60"/>
      <c r="F303" s="60"/>
      <c r="G303" s="61">
        <f>SUM(D303:F303)</f>
        <v>0</v>
      </c>
      <c r="H303" s="60"/>
      <c r="I303" s="60"/>
      <c r="J303" s="60"/>
      <c r="K303" s="61">
        <f>SUM(H303:J303)</f>
        <v>0</v>
      </c>
      <c r="L303" s="60"/>
      <c r="M303" s="60"/>
      <c r="N303" s="60"/>
      <c r="O303" s="61">
        <f>SUM(L303:N303)</f>
        <v>0</v>
      </c>
      <c r="P303" s="60"/>
      <c r="Q303" s="60"/>
      <c r="R303" s="60"/>
      <c r="S303" s="61">
        <f>SUM(P303:R303)</f>
        <v>0</v>
      </c>
      <c r="T303" s="60"/>
      <c r="U303" s="60"/>
      <c r="V303" s="60"/>
      <c r="W303" s="61">
        <f>SUM(T303:V303)</f>
        <v>0</v>
      </c>
      <c r="X303" s="60"/>
      <c r="Y303" s="60"/>
      <c r="Z303" s="60"/>
      <c r="AA303" s="61">
        <f>SUM(X303:Z303)</f>
        <v>0</v>
      </c>
      <c r="AB303" s="60"/>
      <c r="AC303" s="60"/>
      <c r="AD303" s="60"/>
      <c r="AE303" s="61">
        <f>SUM(AB303:AD303)</f>
        <v>0</v>
      </c>
      <c r="AF303" s="68">
        <f t="shared" si="61"/>
        <v>0</v>
      </c>
    </row>
    <row r="304" spans="1:32" hidden="1" x14ac:dyDescent="0.35">
      <c r="A304" s="111" t="s">
        <v>254</v>
      </c>
      <c r="B304" s="54"/>
      <c r="C304" s="63" t="s">
        <v>227</v>
      </c>
      <c r="D304" s="63"/>
      <c r="E304" s="63"/>
      <c r="F304" s="63"/>
      <c r="G304" s="61">
        <f>SUM(D304:F304)</f>
        <v>0</v>
      </c>
      <c r="H304" s="63"/>
      <c r="I304" s="63"/>
      <c r="J304" s="63"/>
      <c r="K304" s="61">
        <f>SUM(H304:J304)</f>
        <v>0</v>
      </c>
      <c r="L304" s="63"/>
      <c r="M304" s="63"/>
      <c r="N304" s="63"/>
      <c r="O304" s="61">
        <f>SUM(L304:N304)</f>
        <v>0</v>
      </c>
      <c r="P304" s="63"/>
      <c r="Q304" s="63"/>
      <c r="R304" s="63"/>
      <c r="S304" s="61">
        <f>SUM(P304:R304)</f>
        <v>0</v>
      </c>
      <c r="T304" s="63"/>
      <c r="U304" s="63"/>
      <c r="V304" s="63"/>
      <c r="W304" s="61">
        <f>SUM(T304:V304)</f>
        <v>0</v>
      </c>
      <c r="X304" s="63"/>
      <c r="Y304" s="63"/>
      <c r="Z304" s="63"/>
      <c r="AA304" s="61">
        <f>SUM(X304:Z304)</f>
        <v>0</v>
      </c>
      <c r="AB304" s="63"/>
      <c r="AC304" s="63"/>
      <c r="AD304" s="63"/>
      <c r="AE304" s="61">
        <f>SUM(AB304:AD304)</f>
        <v>0</v>
      </c>
      <c r="AF304" s="68">
        <f t="shared" si="61"/>
        <v>0</v>
      </c>
    </row>
    <row r="305" spans="1:32" hidden="1" x14ac:dyDescent="0.35">
      <c r="A305" s="111"/>
      <c r="B305" s="54"/>
      <c r="C305" s="60" t="s">
        <v>228</v>
      </c>
      <c r="D305" s="60"/>
      <c r="E305" s="60"/>
      <c r="F305" s="60"/>
      <c r="G305" s="61">
        <f>SUM(D305:F305)</f>
        <v>0</v>
      </c>
      <c r="H305" s="60"/>
      <c r="I305" s="60"/>
      <c r="J305" s="60"/>
      <c r="K305" s="61">
        <f>SUM(H305:J305)</f>
        <v>0</v>
      </c>
      <c r="L305" s="60"/>
      <c r="M305" s="60"/>
      <c r="N305" s="60"/>
      <c r="O305" s="61">
        <f>SUM(L305:N305)</f>
        <v>0</v>
      </c>
      <c r="P305" s="60"/>
      <c r="Q305" s="60"/>
      <c r="R305" s="60"/>
      <c r="S305" s="61">
        <f>SUM(P305:R305)</f>
        <v>0</v>
      </c>
      <c r="T305" s="60"/>
      <c r="U305" s="60"/>
      <c r="V305" s="60"/>
      <c r="W305" s="61">
        <f>SUM(T305:V305)</f>
        <v>0</v>
      </c>
      <c r="X305" s="60"/>
      <c r="Y305" s="60"/>
      <c r="Z305" s="60"/>
      <c r="AA305" s="61">
        <f>SUM(X305:Z305)</f>
        <v>0</v>
      </c>
      <c r="AB305" s="60"/>
      <c r="AC305" s="60"/>
      <c r="AD305" s="60"/>
      <c r="AE305" s="61">
        <f>SUM(AB305:AD305)</f>
        <v>0</v>
      </c>
      <c r="AF305" s="68">
        <f t="shared" si="61"/>
        <v>0</v>
      </c>
    </row>
    <row r="306" spans="1:32" hidden="1" x14ac:dyDescent="0.35">
      <c r="A306" s="111"/>
      <c r="B306" s="54"/>
      <c r="C306" s="63" t="s">
        <v>235</v>
      </c>
      <c r="D306" s="63"/>
      <c r="E306" s="63"/>
      <c r="F306" s="63"/>
      <c r="G306" s="61">
        <f>SUM(D306:F306)</f>
        <v>0</v>
      </c>
      <c r="H306" s="63"/>
      <c r="I306" s="63"/>
      <c r="J306" s="63"/>
      <c r="K306" s="61">
        <f>SUM(H306:J306)</f>
        <v>0</v>
      </c>
      <c r="L306" s="63"/>
      <c r="M306" s="63"/>
      <c r="N306" s="63"/>
      <c r="O306" s="61">
        <f>SUM(L306:N306)</f>
        <v>0</v>
      </c>
      <c r="P306" s="63"/>
      <c r="Q306" s="63"/>
      <c r="R306" s="63"/>
      <c r="S306" s="61">
        <f>SUM(P306:R306)</f>
        <v>0</v>
      </c>
      <c r="T306" s="63"/>
      <c r="U306" s="63"/>
      <c r="V306" s="63"/>
      <c r="W306" s="61">
        <f>SUM(T306:V306)</f>
        <v>0</v>
      </c>
      <c r="X306" s="63"/>
      <c r="Y306" s="63"/>
      <c r="Z306" s="63"/>
      <c r="AA306" s="61">
        <f>SUM(X306:Z306)</f>
        <v>0</v>
      </c>
      <c r="AB306" s="63"/>
      <c r="AC306" s="63"/>
      <c r="AD306" s="63"/>
      <c r="AE306" s="61">
        <f>SUM(AB306:AD306)</f>
        <v>0</v>
      </c>
      <c r="AF306" s="68">
        <f t="shared" si="61"/>
        <v>0</v>
      </c>
    </row>
    <row r="307" spans="1:32" x14ac:dyDescent="0.35">
      <c r="A307" s="66" t="s">
        <v>335</v>
      </c>
      <c r="B307" s="67" t="s">
        <v>255</v>
      </c>
      <c r="C307" s="66"/>
      <c r="D307" s="66">
        <f t="shared" ref="D307:AE307" si="72">SUM(D303:D306)</f>
        <v>0</v>
      </c>
      <c r="E307" s="66">
        <f t="shared" si="72"/>
        <v>0</v>
      </c>
      <c r="F307" s="66">
        <f t="shared" si="72"/>
        <v>0</v>
      </c>
      <c r="G307" s="61">
        <f t="shared" si="72"/>
        <v>0</v>
      </c>
      <c r="H307" s="66">
        <f t="shared" si="72"/>
        <v>0</v>
      </c>
      <c r="I307" s="66">
        <f t="shared" si="72"/>
        <v>0</v>
      </c>
      <c r="J307" s="66">
        <f t="shared" si="72"/>
        <v>0</v>
      </c>
      <c r="K307" s="61">
        <f t="shared" si="72"/>
        <v>0</v>
      </c>
      <c r="L307" s="66">
        <f t="shared" si="72"/>
        <v>0</v>
      </c>
      <c r="M307" s="66">
        <f t="shared" si="72"/>
        <v>0</v>
      </c>
      <c r="N307" s="66">
        <f t="shared" si="72"/>
        <v>0</v>
      </c>
      <c r="O307" s="61">
        <f t="shared" si="72"/>
        <v>0</v>
      </c>
      <c r="P307" s="66">
        <f t="shared" si="72"/>
        <v>0</v>
      </c>
      <c r="Q307" s="66">
        <f t="shared" si="72"/>
        <v>0</v>
      </c>
      <c r="R307" s="66">
        <f t="shared" si="72"/>
        <v>0</v>
      </c>
      <c r="S307" s="61">
        <f t="shared" si="72"/>
        <v>0</v>
      </c>
      <c r="T307" s="66">
        <f t="shared" si="72"/>
        <v>0</v>
      </c>
      <c r="U307" s="66">
        <f t="shared" si="72"/>
        <v>0</v>
      </c>
      <c r="V307" s="66">
        <f t="shared" si="72"/>
        <v>0</v>
      </c>
      <c r="W307" s="61">
        <f t="shared" si="72"/>
        <v>0</v>
      </c>
      <c r="X307" s="66">
        <f t="shared" si="72"/>
        <v>0</v>
      </c>
      <c r="Y307" s="66">
        <f t="shared" si="72"/>
        <v>0</v>
      </c>
      <c r="Z307" s="66">
        <f t="shared" si="72"/>
        <v>0</v>
      </c>
      <c r="AA307" s="61">
        <f t="shared" si="72"/>
        <v>0</v>
      </c>
      <c r="AB307" s="66">
        <f t="shared" si="72"/>
        <v>0</v>
      </c>
      <c r="AC307" s="66">
        <f t="shared" si="72"/>
        <v>0</v>
      </c>
      <c r="AD307" s="66">
        <f t="shared" si="72"/>
        <v>0</v>
      </c>
      <c r="AE307" s="61">
        <f t="shared" si="72"/>
        <v>0</v>
      </c>
      <c r="AF307" s="68">
        <f t="shared" si="61"/>
        <v>0</v>
      </c>
    </row>
    <row r="308" spans="1:32" hidden="1" x14ac:dyDescent="0.35">
      <c r="A308" s="59" t="s">
        <v>336</v>
      </c>
      <c r="B308" s="54">
        <v>5</v>
      </c>
      <c r="C308" s="60" t="s">
        <v>225</v>
      </c>
      <c r="D308" s="60"/>
      <c r="E308" s="60"/>
      <c r="F308" s="60"/>
      <c r="G308" s="61">
        <f>SUM(D308:F308)</f>
        <v>0</v>
      </c>
      <c r="H308" s="60"/>
      <c r="I308" s="60"/>
      <c r="J308" s="60"/>
      <c r="K308" s="61">
        <f>SUM(H308:J308)</f>
        <v>0</v>
      </c>
      <c r="L308" s="60"/>
      <c r="M308" s="60"/>
      <c r="N308" s="60"/>
      <c r="O308" s="61">
        <f>SUM(L308:N308)</f>
        <v>0</v>
      </c>
      <c r="P308" s="60"/>
      <c r="Q308" s="60"/>
      <c r="R308" s="60"/>
      <c r="S308" s="61">
        <f>SUM(P308:R308)</f>
        <v>0</v>
      </c>
      <c r="T308" s="60"/>
      <c r="U308" s="60"/>
      <c r="V308" s="60"/>
      <c r="W308" s="61">
        <f>SUM(T308:V308)</f>
        <v>0</v>
      </c>
      <c r="X308" s="60"/>
      <c r="Y308" s="60"/>
      <c r="Z308" s="60"/>
      <c r="AA308" s="61">
        <f>SUM(X308:Z308)</f>
        <v>0</v>
      </c>
      <c r="AB308" s="60"/>
      <c r="AC308" s="60"/>
      <c r="AD308" s="60"/>
      <c r="AE308" s="61">
        <f>SUM(AB308:AD308)</f>
        <v>0</v>
      </c>
      <c r="AF308" s="68">
        <f t="shared" si="61"/>
        <v>0</v>
      </c>
    </row>
    <row r="309" spans="1:32" hidden="1" x14ac:dyDescent="0.35">
      <c r="A309" s="111" t="s">
        <v>238</v>
      </c>
      <c r="B309" s="54"/>
      <c r="C309" s="63" t="s">
        <v>227</v>
      </c>
      <c r="D309" s="63"/>
      <c r="E309" s="63"/>
      <c r="F309" s="63"/>
      <c r="G309" s="61">
        <f>SUM(D309:F309)</f>
        <v>0</v>
      </c>
      <c r="H309" s="63"/>
      <c r="I309" s="63"/>
      <c r="J309" s="63"/>
      <c r="K309" s="61">
        <f>SUM(H309:J309)</f>
        <v>0</v>
      </c>
      <c r="L309" s="63"/>
      <c r="M309" s="63"/>
      <c r="N309" s="63"/>
      <c r="O309" s="61">
        <f>SUM(L309:N309)</f>
        <v>0</v>
      </c>
      <c r="P309" s="63"/>
      <c r="Q309" s="63"/>
      <c r="R309" s="63"/>
      <c r="S309" s="61">
        <f>SUM(P309:R309)</f>
        <v>0</v>
      </c>
      <c r="T309" s="63"/>
      <c r="U309" s="63"/>
      <c r="V309" s="63"/>
      <c r="W309" s="61">
        <f>SUM(T309:V309)</f>
        <v>0</v>
      </c>
      <c r="X309" s="63"/>
      <c r="Y309" s="63"/>
      <c r="Z309" s="63"/>
      <c r="AA309" s="61">
        <f>SUM(X309:Z309)</f>
        <v>0</v>
      </c>
      <c r="AB309" s="63"/>
      <c r="AC309" s="63"/>
      <c r="AD309" s="63"/>
      <c r="AE309" s="61">
        <f>SUM(AB309:AD309)</f>
        <v>0</v>
      </c>
      <c r="AF309" s="68">
        <f t="shared" si="61"/>
        <v>0</v>
      </c>
    </row>
    <row r="310" spans="1:32" hidden="1" x14ac:dyDescent="0.35">
      <c r="A310" s="111"/>
      <c r="B310" s="54"/>
      <c r="C310" s="60" t="s">
        <v>228</v>
      </c>
      <c r="D310" s="60"/>
      <c r="E310" s="60"/>
      <c r="F310" s="60"/>
      <c r="G310" s="61">
        <f>SUM(D310:F310)</f>
        <v>0</v>
      </c>
      <c r="H310" s="60"/>
      <c r="I310" s="60"/>
      <c r="J310" s="60"/>
      <c r="K310" s="61">
        <f>SUM(H310:J310)</f>
        <v>0</v>
      </c>
      <c r="L310" s="60"/>
      <c r="M310" s="60"/>
      <c r="N310" s="60"/>
      <c r="O310" s="61">
        <f>SUM(L310:N310)</f>
        <v>0</v>
      </c>
      <c r="P310" s="60"/>
      <c r="Q310" s="60"/>
      <c r="R310" s="60"/>
      <c r="S310" s="61">
        <f>SUM(P310:R310)</f>
        <v>0</v>
      </c>
      <c r="T310" s="60"/>
      <c r="U310" s="60"/>
      <c r="V310" s="60"/>
      <c r="W310" s="61">
        <f>SUM(T310:V310)</f>
        <v>0</v>
      </c>
      <c r="X310" s="60"/>
      <c r="Y310" s="60"/>
      <c r="Z310" s="60"/>
      <c r="AA310" s="61">
        <f>SUM(X310:Z310)</f>
        <v>0</v>
      </c>
      <c r="AB310" s="60"/>
      <c r="AC310" s="60"/>
      <c r="AD310" s="60"/>
      <c r="AE310" s="61">
        <f>SUM(AB310:AD310)</f>
        <v>0</v>
      </c>
      <c r="AF310" s="68">
        <f t="shared" si="61"/>
        <v>0</v>
      </c>
    </row>
    <row r="311" spans="1:32" hidden="1" x14ac:dyDescent="0.35">
      <c r="A311" s="111"/>
      <c r="B311" s="54"/>
      <c r="C311" s="63" t="s">
        <v>235</v>
      </c>
      <c r="D311" s="63"/>
      <c r="E311" s="63"/>
      <c r="F311" s="63"/>
      <c r="G311" s="61">
        <f>SUM(D311:F311)</f>
        <v>0</v>
      </c>
      <c r="H311" s="63"/>
      <c r="I311" s="63"/>
      <c r="J311" s="63"/>
      <c r="K311" s="61">
        <f>SUM(H311:J311)</f>
        <v>0</v>
      </c>
      <c r="L311" s="63"/>
      <c r="M311" s="63"/>
      <c r="N311" s="63"/>
      <c r="O311" s="61">
        <f>SUM(L311:N311)</f>
        <v>0</v>
      </c>
      <c r="P311" s="63"/>
      <c r="Q311" s="63"/>
      <c r="R311" s="63"/>
      <c r="S311" s="61">
        <f>SUM(P311:R311)</f>
        <v>0</v>
      </c>
      <c r="T311" s="63"/>
      <c r="U311" s="63"/>
      <c r="V311" s="63"/>
      <c r="W311" s="61">
        <f>SUM(T311:V311)</f>
        <v>0</v>
      </c>
      <c r="X311" s="63"/>
      <c r="Y311" s="63"/>
      <c r="Z311" s="63"/>
      <c r="AA311" s="61">
        <f>SUM(X311:Z311)</f>
        <v>0</v>
      </c>
      <c r="AB311" s="63"/>
      <c r="AC311" s="63"/>
      <c r="AD311" s="63"/>
      <c r="AE311" s="61">
        <f>SUM(AB311:AD311)</f>
        <v>0</v>
      </c>
      <c r="AF311" s="68">
        <f t="shared" si="61"/>
        <v>0</v>
      </c>
    </row>
    <row r="312" spans="1:32" x14ac:dyDescent="0.35">
      <c r="A312" s="66" t="s">
        <v>336</v>
      </c>
      <c r="B312" s="67">
        <v>5</v>
      </c>
      <c r="C312" s="66"/>
      <c r="D312" s="66">
        <f t="shared" ref="D312:AE312" si="73">SUM(D308:D311)</f>
        <v>0</v>
      </c>
      <c r="E312" s="66">
        <f t="shared" si="73"/>
        <v>0</v>
      </c>
      <c r="F312" s="66">
        <f t="shared" si="73"/>
        <v>0</v>
      </c>
      <c r="G312" s="61">
        <f t="shared" si="73"/>
        <v>0</v>
      </c>
      <c r="H312" s="66">
        <f t="shared" si="73"/>
        <v>0</v>
      </c>
      <c r="I312" s="66">
        <f t="shared" si="73"/>
        <v>0</v>
      </c>
      <c r="J312" s="66">
        <f t="shared" si="73"/>
        <v>0</v>
      </c>
      <c r="K312" s="61">
        <f t="shared" si="73"/>
        <v>0</v>
      </c>
      <c r="L312" s="66">
        <f t="shared" si="73"/>
        <v>0</v>
      </c>
      <c r="M312" s="66">
        <f t="shared" si="73"/>
        <v>0</v>
      </c>
      <c r="N312" s="66">
        <f t="shared" si="73"/>
        <v>0</v>
      </c>
      <c r="O312" s="61">
        <f t="shared" si="73"/>
        <v>0</v>
      </c>
      <c r="P312" s="66">
        <f t="shared" si="73"/>
        <v>0</v>
      </c>
      <c r="Q312" s="66">
        <f t="shared" si="73"/>
        <v>0</v>
      </c>
      <c r="R312" s="66">
        <f t="shared" si="73"/>
        <v>0</v>
      </c>
      <c r="S312" s="61">
        <f t="shared" si="73"/>
        <v>0</v>
      </c>
      <c r="T312" s="66">
        <f t="shared" si="73"/>
        <v>0</v>
      </c>
      <c r="U312" s="66">
        <f t="shared" si="73"/>
        <v>0</v>
      </c>
      <c r="V312" s="66">
        <f t="shared" si="73"/>
        <v>0</v>
      </c>
      <c r="W312" s="61">
        <f t="shared" si="73"/>
        <v>0</v>
      </c>
      <c r="X312" s="66">
        <f t="shared" si="73"/>
        <v>0</v>
      </c>
      <c r="Y312" s="66">
        <f t="shared" si="73"/>
        <v>0</v>
      </c>
      <c r="Z312" s="66">
        <f t="shared" si="73"/>
        <v>0</v>
      </c>
      <c r="AA312" s="61">
        <f t="shared" si="73"/>
        <v>0</v>
      </c>
      <c r="AB312" s="66">
        <f t="shared" si="73"/>
        <v>0</v>
      </c>
      <c r="AC312" s="66">
        <f t="shared" si="73"/>
        <v>0</v>
      </c>
      <c r="AD312" s="66">
        <f t="shared" si="73"/>
        <v>0</v>
      </c>
      <c r="AE312" s="61">
        <f t="shared" si="73"/>
        <v>0</v>
      </c>
      <c r="AF312" s="68">
        <f t="shared" si="61"/>
        <v>0</v>
      </c>
    </row>
    <row r="313" spans="1:32" hidden="1" x14ac:dyDescent="0.35">
      <c r="A313" s="59" t="s">
        <v>337</v>
      </c>
      <c r="B313" s="54" t="s">
        <v>338</v>
      </c>
      <c r="C313" s="60" t="s">
        <v>225</v>
      </c>
      <c r="D313" s="60"/>
      <c r="E313" s="60"/>
      <c r="F313" s="60"/>
      <c r="G313" s="61">
        <f>SUM(D313:F313)</f>
        <v>0</v>
      </c>
      <c r="H313" s="60"/>
      <c r="I313" s="60"/>
      <c r="J313" s="60"/>
      <c r="K313" s="61">
        <f>SUM(H313:J313)</f>
        <v>0</v>
      </c>
      <c r="L313" s="60"/>
      <c r="M313" s="60"/>
      <c r="N313" s="60"/>
      <c r="O313" s="61">
        <f>SUM(L313:N313)</f>
        <v>0</v>
      </c>
      <c r="P313" s="60"/>
      <c r="Q313" s="60"/>
      <c r="R313" s="60"/>
      <c r="S313" s="61">
        <f>SUM(P313:R313)</f>
        <v>0</v>
      </c>
      <c r="T313" s="60">
        <v>2</v>
      </c>
      <c r="U313" s="60"/>
      <c r="V313" s="60"/>
      <c r="W313" s="61">
        <f>SUM(T313:V313)</f>
        <v>2</v>
      </c>
      <c r="X313" s="60">
        <v>2</v>
      </c>
      <c r="Y313" s="60"/>
      <c r="Z313" s="60"/>
      <c r="AA313" s="61">
        <f>SUM(X313:Z313)</f>
        <v>2</v>
      </c>
      <c r="AB313" s="60"/>
      <c r="AC313" s="60"/>
      <c r="AD313" s="60"/>
      <c r="AE313" s="61">
        <f>SUM(AB313:AD313)</f>
        <v>0</v>
      </c>
      <c r="AF313" s="68">
        <f t="shared" si="61"/>
        <v>4</v>
      </c>
    </row>
    <row r="314" spans="1:32" hidden="1" x14ac:dyDescent="0.35">
      <c r="A314" s="111" t="s">
        <v>339</v>
      </c>
      <c r="B314" s="54"/>
      <c r="C314" s="63" t="s">
        <v>227</v>
      </c>
      <c r="D314" s="63"/>
      <c r="E314" s="63"/>
      <c r="F314" s="63"/>
      <c r="G314" s="61">
        <f>SUM(D314:F314)</f>
        <v>0</v>
      </c>
      <c r="H314" s="63"/>
      <c r="I314" s="63"/>
      <c r="J314" s="63"/>
      <c r="K314" s="61">
        <f>SUM(H314:J314)</f>
        <v>0</v>
      </c>
      <c r="L314" s="63"/>
      <c r="M314" s="63"/>
      <c r="N314" s="63"/>
      <c r="O314" s="61">
        <f>SUM(L314:N314)</f>
        <v>0</v>
      </c>
      <c r="P314" s="63"/>
      <c r="Q314" s="63"/>
      <c r="R314" s="63"/>
      <c r="S314" s="61">
        <f>SUM(P314:R314)</f>
        <v>0</v>
      </c>
      <c r="T314" s="63">
        <v>2</v>
      </c>
      <c r="U314" s="63">
        <v>1</v>
      </c>
      <c r="V314" s="63"/>
      <c r="W314" s="61">
        <f>SUM(T314:V314)</f>
        <v>3</v>
      </c>
      <c r="X314" s="63">
        <v>1</v>
      </c>
      <c r="Y314" s="63"/>
      <c r="Z314" s="63"/>
      <c r="AA314" s="61">
        <f>SUM(X314:Z314)</f>
        <v>1</v>
      </c>
      <c r="AB314" s="63"/>
      <c r="AC314" s="63"/>
      <c r="AD314" s="63"/>
      <c r="AE314" s="61">
        <f>SUM(AB314:AD314)</f>
        <v>0</v>
      </c>
      <c r="AF314" s="68">
        <f t="shared" si="61"/>
        <v>4</v>
      </c>
    </row>
    <row r="315" spans="1:32" hidden="1" x14ac:dyDescent="0.35">
      <c r="A315" s="111"/>
      <c r="B315" s="54"/>
      <c r="C315" s="60" t="s">
        <v>228</v>
      </c>
      <c r="D315" s="60"/>
      <c r="E315" s="60"/>
      <c r="F315" s="60"/>
      <c r="G315" s="61">
        <f>SUM(D315:F315)</f>
        <v>0</v>
      </c>
      <c r="H315" s="60"/>
      <c r="I315" s="60"/>
      <c r="J315" s="60"/>
      <c r="K315" s="61">
        <f>SUM(H315:J315)</f>
        <v>0</v>
      </c>
      <c r="L315" s="60"/>
      <c r="M315" s="60"/>
      <c r="N315" s="60"/>
      <c r="O315" s="61">
        <f>SUM(L315:N315)</f>
        <v>0</v>
      </c>
      <c r="P315" s="60"/>
      <c r="Q315" s="60"/>
      <c r="R315" s="60"/>
      <c r="S315" s="61">
        <f>SUM(P315:R315)</f>
        <v>0</v>
      </c>
      <c r="T315" s="60">
        <v>1</v>
      </c>
      <c r="U315" s="60">
        <v>1</v>
      </c>
      <c r="V315" s="60"/>
      <c r="W315" s="61">
        <f>SUM(T315:V315)</f>
        <v>2</v>
      </c>
      <c r="X315" s="60">
        <v>2</v>
      </c>
      <c r="Y315" s="60"/>
      <c r="Z315" s="60"/>
      <c r="AA315" s="61">
        <f>SUM(X315:Z315)</f>
        <v>2</v>
      </c>
      <c r="AB315" s="60"/>
      <c r="AC315" s="60"/>
      <c r="AD315" s="60"/>
      <c r="AE315" s="61">
        <f>SUM(AB315:AD315)</f>
        <v>0</v>
      </c>
      <c r="AF315" s="68">
        <f t="shared" si="61"/>
        <v>4</v>
      </c>
    </row>
    <row r="316" spans="1:32" hidden="1" x14ac:dyDescent="0.35">
      <c r="A316" s="111"/>
      <c r="B316" s="54"/>
      <c r="C316" s="63" t="s">
        <v>235</v>
      </c>
      <c r="D316" s="63"/>
      <c r="E316" s="63"/>
      <c r="F316" s="63"/>
      <c r="G316" s="61">
        <f>SUM(D316:F316)</f>
        <v>0</v>
      </c>
      <c r="H316" s="63"/>
      <c r="I316" s="63"/>
      <c r="J316" s="63"/>
      <c r="K316" s="61">
        <f>SUM(H316:J316)</f>
        <v>0</v>
      </c>
      <c r="L316" s="63"/>
      <c r="M316" s="63"/>
      <c r="N316" s="63"/>
      <c r="O316" s="61">
        <f>SUM(L316:N316)</f>
        <v>0</v>
      </c>
      <c r="P316" s="63"/>
      <c r="Q316" s="63"/>
      <c r="R316" s="63"/>
      <c r="S316" s="61">
        <f>SUM(P316:R316)</f>
        <v>0</v>
      </c>
      <c r="T316" s="63">
        <v>5</v>
      </c>
      <c r="U316" s="63"/>
      <c r="V316" s="63"/>
      <c r="W316" s="61">
        <f>SUM(T316:V316)</f>
        <v>5</v>
      </c>
      <c r="X316" s="63">
        <v>2</v>
      </c>
      <c r="Y316" s="63"/>
      <c r="Z316" s="63"/>
      <c r="AA316" s="61">
        <f>SUM(X316:Z316)</f>
        <v>2</v>
      </c>
      <c r="AB316" s="63"/>
      <c r="AC316" s="63"/>
      <c r="AD316" s="63"/>
      <c r="AE316" s="61">
        <f>SUM(AB316:AD316)</f>
        <v>0</v>
      </c>
      <c r="AF316" s="68">
        <f t="shared" si="61"/>
        <v>7</v>
      </c>
    </row>
    <row r="317" spans="1:32" x14ac:dyDescent="0.35">
      <c r="A317" s="66" t="s">
        <v>337</v>
      </c>
      <c r="B317" s="67" t="s">
        <v>338</v>
      </c>
      <c r="C317" s="66"/>
      <c r="D317" s="66">
        <f t="shared" ref="D317:AE317" si="74">SUM(D313:D316)</f>
        <v>0</v>
      </c>
      <c r="E317" s="66">
        <f t="shared" si="74"/>
        <v>0</v>
      </c>
      <c r="F317" s="66">
        <f t="shared" si="74"/>
        <v>0</v>
      </c>
      <c r="G317" s="61">
        <f t="shared" si="74"/>
        <v>0</v>
      </c>
      <c r="H317" s="66">
        <f t="shared" si="74"/>
        <v>0</v>
      </c>
      <c r="I317" s="66">
        <f t="shared" si="74"/>
        <v>0</v>
      </c>
      <c r="J317" s="66">
        <f t="shared" si="74"/>
        <v>0</v>
      </c>
      <c r="K317" s="61">
        <f t="shared" si="74"/>
        <v>0</v>
      </c>
      <c r="L317" s="66">
        <f t="shared" si="74"/>
        <v>0</v>
      </c>
      <c r="M317" s="66">
        <f t="shared" si="74"/>
        <v>0</v>
      </c>
      <c r="N317" s="66">
        <f t="shared" si="74"/>
        <v>0</v>
      </c>
      <c r="O317" s="61">
        <f t="shared" si="74"/>
        <v>0</v>
      </c>
      <c r="P317" s="66">
        <f t="shared" si="74"/>
        <v>0</v>
      </c>
      <c r="Q317" s="66">
        <f t="shared" si="74"/>
        <v>0</v>
      </c>
      <c r="R317" s="66">
        <f t="shared" si="74"/>
        <v>0</v>
      </c>
      <c r="S317" s="61">
        <f t="shared" si="74"/>
        <v>0</v>
      </c>
      <c r="T317" s="66">
        <f t="shared" si="74"/>
        <v>10</v>
      </c>
      <c r="U317" s="66">
        <f t="shared" si="74"/>
        <v>2</v>
      </c>
      <c r="V317" s="66">
        <f t="shared" si="74"/>
        <v>0</v>
      </c>
      <c r="W317" s="61">
        <f t="shared" si="74"/>
        <v>12</v>
      </c>
      <c r="X317" s="66">
        <f t="shared" si="74"/>
        <v>7</v>
      </c>
      <c r="Y317" s="66">
        <f t="shared" si="74"/>
        <v>0</v>
      </c>
      <c r="Z317" s="66">
        <f t="shared" si="74"/>
        <v>0</v>
      </c>
      <c r="AA317" s="61">
        <f t="shared" si="74"/>
        <v>7</v>
      </c>
      <c r="AB317" s="66">
        <f t="shared" si="74"/>
        <v>0</v>
      </c>
      <c r="AC317" s="66">
        <f t="shared" si="74"/>
        <v>0</v>
      </c>
      <c r="AD317" s="66">
        <f t="shared" si="74"/>
        <v>0</v>
      </c>
      <c r="AE317" s="61">
        <f t="shared" si="74"/>
        <v>0</v>
      </c>
      <c r="AF317" s="68">
        <f t="shared" si="61"/>
        <v>19</v>
      </c>
    </row>
    <row r="318" spans="1:32" hidden="1" x14ac:dyDescent="0.35">
      <c r="A318" s="59" t="s">
        <v>340</v>
      </c>
      <c r="B318" s="54" t="s">
        <v>303</v>
      </c>
      <c r="C318" s="60" t="s">
        <v>225</v>
      </c>
      <c r="D318" s="60"/>
      <c r="E318" s="60"/>
      <c r="F318" s="60"/>
      <c r="G318" s="61">
        <f>SUM(D318:F318)</f>
        <v>0</v>
      </c>
      <c r="H318" s="60"/>
      <c r="I318" s="60"/>
      <c r="J318" s="60"/>
      <c r="K318" s="61">
        <f>SUM(H318:J318)</f>
        <v>0</v>
      </c>
      <c r="L318" s="60"/>
      <c r="M318" s="60"/>
      <c r="N318" s="60"/>
      <c r="O318" s="61">
        <f>SUM(L318:N318)</f>
        <v>0</v>
      </c>
      <c r="P318" s="60"/>
      <c r="Q318" s="60"/>
      <c r="R318" s="60"/>
      <c r="S318" s="61">
        <f>SUM(P318:R318)</f>
        <v>0</v>
      </c>
      <c r="T318" s="60"/>
      <c r="U318" s="60"/>
      <c r="V318" s="60"/>
      <c r="W318" s="61">
        <f>SUM(T318:V318)</f>
        <v>0</v>
      </c>
      <c r="X318" s="60"/>
      <c r="Y318" s="60"/>
      <c r="Z318" s="60"/>
      <c r="AA318" s="61">
        <f>SUM(X318:Z318)</f>
        <v>0</v>
      </c>
      <c r="AB318" s="60"/>
      <c r="AC318" s="60"/>
      <c r="AD318" s="60"/>
      <c r="AE318" s="61">
        <f>SUM(AB318:AD318)</f>
        <v>0</v>
      </c>
      <c r="AF318" s="68">
        <f t="shared" si="61"/>
        <v>0</v>
      </c>
    </row>
    <row r="319" spans="1:32" hidden="1" x14ac:dyDescent="0.35">
      <c r="A319" s="111" t="s">
        <v>341</v>
      </c>
      <c r="B319" s="54"/>
      <c r="C319" s="63" t="s">
        <v>227</v>
      </c>
      <c r="D319" s="63"/>
      <c r="E319" s="63"/>
      <c r="F319" s="63"/>
      <c r="G319" s="61">
        <f>SUM(D319:F319)</f>
        <v>0</v>
      </c>
      <c r="H319" s="63"/>
      <c r="I319" s="63"/>
      <c r="J319" s="63"/>
      <c r="K319" s="61">
        <f>SUM(H319:J319)</f>
        <v>0</v>
      </c>
      <c r="L319" s="63"/>
      <c r="M319" s="63"/>
      <c r="N319" s="63"/>
      <c r="O319" s="61">
        <f>SUM(L319:N319)</f>
        <v>0</v>
      </c>
      <c r="P319" s="63"/>
      <c r="Q319" s="63"/>
      <c r="R319" s="63"/>
      <c r="S319" s="61">
        <f>SUM(P319:R319)</f>
        <v>0</v>
      </c>
      <c r="T319" s="63"/>
      <c r="U319" s="63"/>
      <c r="V319" s="63"/>
      <c r="W319" s="61">
        <f>SUM(T319:V319)</f>
        <v>0</v>
      </c>
      <c r="X319" s="63"/>
      <c r="Y319" s="63"/>
      <c r="Z319" s="63"/>
      <c r="AA319" s="61">
        <f>SUM(X319:Z319)</f>
        <v>0</v>
      </c>
      <c r="AB319" s="63"/>
      <c r="AC319" s="63"/>
      <c r="AD319" s="63"/>
      <c r="AE319" s="61">
        <f>SUM(AB319:AD319)</f>
        <v>0</v>
      </c>
      <c r="AF319" s="68">
        <f t="shared" si="61"/>
        <v>0</v>
      </c>
    </row>
    <row r="320" spans="1:32" hidden="1" x14ac:dyDescent="0.35">
      <c r="A320" s="111"/>
      <c r="B320" s="54"/>
      <c r="C320" s="60" t="s">
        <v>228</v>
      </c>
      <c r="D320" s="60"/>
      <c r="E320" s="60"/>
      <c r="F320" s="60"/>
      <c r="G320" s="61">
        <f>SUM(D320:F320)</f>
        <v>0</v>
      </c>
      <c r="H320" s="60"/>
      <c r="I320" s="60"/>
      <c r="J320" s="60"/>
      <c r="K320" s="61">
        <f>SUM(H320:J320)</f>
        <v>0</v>
      </c>
      <c r="L320" s="60"/>
      <c r="M320" s="60"/>
      <c r="N320" s="60"/>
      <c r="O320" s="61">
        <f>SUM(L320:N320)</f>
        <v>0</v>
      </c>
      <c r="P320" s="60"/>
      <c r="Q320" s="60"/>
      <c r="R320" s="60"/>
      <c r="S320" s="61">
        <f>SUM(P320:R320)</f>
        <v>0</v>
      </c>
      <c r="T320" s="60"/>
      <c r="U320" s="60"/>
      <c r="V320" s="60"/>
      <c r="W320" s="61">
        <f>SUM(T320:V320)</f>
        <v>0</v>
      </c>
      <c r="X320" s="60"/>
      <c r="Y320" s="60"/>
      <c r="Z320" s="60"/>
      <c r="AA320" s="61">
        <f>SUM(X320:Z320)</f>
        <v>0</v>
      </c>
      <c r="AB320" s="60"/>
      <c r="AC320" s="60"/>
      <c r="AD320" s="60"/>
      <c r="AE320" s="61">
        <f>SUM(AB320:AD320)</f>
        <v>0</v>
      </c>
      <c r="AF320" s="68">
        <f t="shared" si="61"/>
        <v>0</v>
      </c>
    </row>
    <row r="321" spans="1:32" hidden="1" x14ac:dyDescent="0.35">
      <c r="A321" s="111"/>
      <c r="B321" s="54"/>
      <c r="C321" s="63" t="s">
        <v>235</v>
      </c>
      <c r="D321" s="63"/>
      <c r="E321" s="63"/>
      <c r="F321" s="63"/>
      <c r="G321" s="61">
        <f>SUM(D321:F321)</f>
        <v>0</v>
      </c>
      <c r="H321" s="63"/>
      <c r="I321" s="63"/>
      <c r="J321" s="63"/>
      <c r="K321" s="61">
        <f>SUM(H321:J321)</f>
        <v>0</v>
      </c>
      <c r="L321" s="63"/>
      <c r="M321" s="63"/>
      <c r="N321" s="63"/>
      <c r="O321" s="61">
        <f>SUM(L321:N321)</f>
        <v>0</v>
      </c>
      <c r="P321" s="63"/>
      <c r="Q321" s="63"/>
      <c r="R321" s="63"/>
      <c r="S321" s="61">
        <f>SUM(P321:R321)</f>
        <v>0</v>
      </c>
      <c r="T321" s="63"/>
      <c r="U321" s="63"/>
      <c r="V321" s="63"/>
      <c r="W321" s="61">
        <f>SUM(T321:V321)</f>
        <v>0</v>
      </c>
      <c r="X321" s="63"/>
      <c r="Y321" s="63"/>
      <c r="Z321" s="63"/>
      <c r="AA321" s="61">
        <f>SUM(X321:Z321)</f>
        <v>0</v>
      </c>
      <c r="AB321" s="63"/>
      <c r="AC321" s="63"/>
      <c r="AD321" s="63"/>
      <c r="AE321" s="61">
        <f>SUM(AB321:AD321)</f>
        <v>0</v>
      </c>
      <c r="AF321" s="68">
        <f t="shared" si="61"/>
        <v>0</v>
      </c>
    </row>
    <row r="322" spans="1:32" x14ac:dyDescent="0.35">
      <c r="A322" s="66" t="s">
        <v>340</v>
      </c>
      <c r="B322" s="67" t="s">
        <v>303</v>
      </c>
      <c r="C322" s="66"/>
      <c r="D322" s="66">
        <f t="shared" ref="D322:AE322" si="75">SUM(D318:D321)</f>
        <v>0</v>
      </c>
      <c r="E322" s="66">
        <f t="shared" si="75"/>
        <v>0</v>
      </c>
      <c r="F322" s="66">
        <f t="shared" si="75"/>
        <v>0</v>
      </c>
      <c r="G322" s="61">
        <f t="shared" si="75"/>
        <v>0</v>
      </c>
      <c r="H322" s="66">
        <f t="shared" si="75"/>
        <v>0</v>
      </c>
      <c r="I322" s="66">
        <f t="shared" si="75"/>
        <v>0</v>
      </c>
      <c r="J322" s="66">
        <f t="shared" si="75"/>
        <v>0</v>
      </c>
      <c r="K322" s="61">
        <f t="shared" si="75"/>
        <v>0</v>
      </c>
      <c r="L322" s="66">
        <f t="shared" si="75"/>
        <v>0</v>
      </c>
      <c r="M322" s="66">
        <f t="shared" si="75"/>
        <v>0</v>
      </c>
      <c r="N322" s="66">
        <f t="shared" si="75"/>
        <v>0</v>
      </c>
      <c r="O322" s="61">
        <f t="shared" si="75"/>
        <v>0</v>
      </c>
      <c r="P322" s="66">
        <f t="shared" si="75"/>
        <v>0</v>
      </c>
      <c r="Q322" s="66">
        <f t="shared" si="75"/>
        <v>0</v>
      </c>
      <c r="R322" s="66">
        <f t="shared" si="75"/>
        <v>0</v>
      </c>
      <c r="S322" s="61">
        <f t="shared" si="75"/>
        <v>0</v>
      </c>
      <c r="T322" s="66">
        <f t="shared" si="75"/>
        <v>0</v>
      </c>
      <c r="U322" s="66">
        <f t="shared" si="75"/>
        <v>0</v>
      </c>
      <c r="V322" s="66">
        <f t="shared" si="75"/>
        <v>0</v>
      </c>
      <c r="W322" s="61">
        <f t="shared" si="75"/>
        <v>0</v>
      </c>
      <c r="X322" s="66">
        <f t="shared" si="75"/>
        <v>0</v>
      </c>
      <c r="Y322" s="66">
        <f t="shared" si="75"/>
        <v>0</v>
      </c>
      <c r="Z322" s="66">
        <f t="shared" si="75"/>
        <v>0</v>
      </c>
      <c r="AA322" s="61">
        <f t="shared" si="75"/>
        <v>0</v>
      </c>
      <c r="AB322" s="66">
        <f t="shared" si="75"/>
        <v>0</v>
      </c>
      <c r="AC322" s="66">
        <f t="shared" si="75"/>
        <v>0</v>
      </c>
      <c r="AD322" s="66">
        <f t="shared" si="75"/>
        <v>0</v>
      </c>
      <c r="AE322" s="61">
        <f t="shared" si="75"/>
        <v>0</v>
      </c>
      <c r="AF322" s="68">
        <f t="shared" si="61"/>
        <v>0</v>
      </c>
    </row>
    <row r="323" spans="1:32" hidden="1" x14ac:dyDescent="0.35">
      <c r="A323" s="59" t="s">
        <v>342</v>
      </c>
      <c r="B323" s="54" t="s">
        <v>330</v>
      </c>
      <c r="C323" s="60" t="s">
        <v>225</v>
      </c>
      <c r="D323" s="60"/>
      <c r="E323" s="60"/>
      <c r="F323" s="60"/>
      <c r="G323" s="61">
        <f>SUM(D323:F323)</f>
        <v>0</v>
      </c>
      <c r="H323" s="60"/>
      <c r="I323" s="60"/>
      <c r="J323" s="60"/>
      <c r="K323" s="61">
        <f>SUM(H323:J323)</f>
        <v>0</v>
      </c>
      <c r="L323" s="60"/>
      <c r="M323" s="60"/>
      <c r="N323" s="60"/>
      <c r="O323" s="61">
        <f>SUM(L323:N323)</f>
        <v>0</v>
      </c>
      <c r="P323" s="60"/>
      <c r="Q323" s="60"/>
      <c r="R323" s="60"/>
      <c r="S323" s="61">
        <f>SUM(P323:R323)</f>
        <v>0</v>
      </c>
      <c r="T323" s="60"/>
      <c r="U323" s="60"/>
      <c r="V323" s="60"/>
      <c r="W323" s="61">
        <f>SUM(T323:V323)</f>
        <v>0</v>
      </c>
      <c r="X323" s="60">
        <v>5</v>
      </c>
      <c r="Y323" s="60"/>
      <c r="Z323" s="60"/>
      <c r="AA323" s="61">
        <f>SUM(X323:Z323)</f>
        <v>5</v>
      </c>
      <c r="AB323" s="60"/>
      <c r="AC323" s="60"/>
      <c r="AD323" s="60"/>
      <c r="AE323" s="61">
        <f>SUM(AB323:AD323)</f>
        <v>0</v>
      </c>
      <c r="AF323" s="68">
        <f t="shared" si="61"/>
        <v>5</v>
      </c>
    </row>
    <row r="324" spans="1:32" hidden="1" x14ac:dyDescent="0.35">
      <c r="A324" s="111" t="s">
        <v>343</v>
      </c>
      <c r="B324" s="54"/>
      <c r="C324" s="63" t="s">
        <v>227</v>
      </c>
      <c r="D324" s="63"/>
      <c r="E324" s="63"/>
      <c r="F324" s="63"/>
      <c r="G324" s="61">
        <f>SUM(D324:F324)</f>
        <v>0</v>
      </c>
      <c r="H324" s="63"/>
      <c r="I324" s="63"/>
      <c r="J324" s="63"/>
      <c r="K324" s="61">
        <f>SUM(H324:J324)</f>
        <v>0</v>
      </c>
      <c r="L324" s="63"/>
      <c r="M324" s="63"/>
      <c r="N324" s="63"/>
      <c r="O324" s="61">
        <f>SUM(L324:N324)</f>
        <v>0</v>
      </c>
      <c r="P324" s="63"/>
      <c r="Q324" s="63"/>
      <c r="R324" s="63"/>
      <c r="S324" s="61">
        <f>SUM(P324:R324)</f>
        <v>0</v>
      </c>
      <c r="T324" s="63"/>
      <c r="U324" s="63"/>
      <c r="V324" s="63"/>
      <c r="W324" s="61">
        <f>SUM(T324:V324)</f>
        <v>0</v>
      </c>
      <c r="X324" s="63"/>
      <c r="Y324" s="63"/>
      <c r="Z324" s="63"/>
      <c r="AA324" s="61">
        <f>SUM(X324:Z324)</f>
        <v>0</v>
      </c>
      <c r="AB324" s="63"/>
      <c r="AC324" s="63"/>
      <c r="AD324" s="63"/>
      <c r="AE324" s="61">
        <f>SUM(AB324:AD324)</f>
        <v>0</v>
      </c>
      <c r="AF324" s="68">
        <f t="shared" si="61"/>
        <v>0</v>
      </c>
    </row>
    <row r="325" spans="1:32" hidden="1" x14ac:dyDescent="0.35">
      <c r="A325" s="111"/>
      <c r="B325" s="54"/>
      <c r="C325" s="60" t="s">
        <v>228</v>
      </c>
      <c r="D325" s="60"/>
      <c r="E325" s="60"/>
      <c r="F325" s="60"/>
      <c r="G325" s="61">
        <f>SUM(D325:F325)</f>
        <v>0</v>
      </c>
      <c r="H325" s="60"/>
      <c r="I325" s="60"/>
      <c r="J325" s="60"/>
      <c r="K325" s="61">
        <f>SUM(H325:J325)</f>
        <v>0</v>
      </c>
      <c r="L325" s="60"/>
      <c r="M325" s="60"/>
      <c r="N325" s="60"/>
      <c r="O325" s="61">
        <f>SUM(L325:N325)</f>
        <v>0</v>
      </c>
      <c r="P325" s="60"/>
      <c r="Q325" s="60"/>
      <c r="R325" s="60"/>
      <c r="S325" s="61">
        <f>SUM(P325:R325)</f>
        <v>0</v>
      </c>
      <c r="T325" s="60"/>
      <c r="U325" s="60"/>
      <c r="V325" s="60"/>
      <c r="W325" s="61">
        <f>SUM(T325:V325)</f>
        <v>0</v>
      </c>
      <c r="X325" s="60"/>
      <c r="Y325" s="60"/>
      <c r="Z325" s="60"/>
      <c r="AA325" s="61">
        <f>SUM(X325:Z325)</f>
        <v>0</v>
      </c>
      <c r="AB325" s="60"/>
      <c r="AC325" s="60"/>
      <c r="AD325" s="60"/>
      <c r="AE325" s="61">
        <f>SUM(AB325:AD325)</f>
        <v>0</v>
      </c>
      <c r="AF325" s="68">
        <f t="shared" ref="AF325:AF388" si="76">SUM(G325,K325,O325,S325,W325,AA325,AE325)</f>
        <v>0</v>
      </c>
    </row>
    <row r="326" spans="1:32" hidden="1" x14ac:dyDescent="0.35">
      <c r="A326" s="111"/>
      <c r="B326" s="54"/>
      <c r="C326" s="63" t="s">
        <v>235</v>
      </c>
      <c r="D326" s="63"/>
      <c r="E326" s="63"/>
      <c r="F326" s="63"/>
      <c r="G326" s="61">
        <f>SUM(D326:F326)</f>
        <v>0</v>
      </c>
      <c r="H326" s="63"/>
      <c r="I326" s="63"/>
      <c r="J326" s="63"/>
      <c r="K326" s="61">
        <f>SUM(H326:J326)</f>
        <v>0</v>
      </c>
      <c r="L326" s="63"/>
      <c r="M326" s="63"/>
      <c r="N326" s="63"/>
      <c r="O326" s="61">
        <f>SUM(L326:N326)</f>
        <v>0</v>
      </c>
      <c r="P326" s="63"/>
      <c r="Q326" s="63"/>
      <c r="R326" s="63"/>
      <c r="S326" s="61">
        <f>SUM(P326:R326)</f>
        <v>0</v>
      </c>
      <c r="T326" s="63"/>
      <c r="U326" s="63"/>
      <c r="V326" s="63"/>
      <c r="W326" s="61">
        <f>SUM(T326:V326)</f>
        <v>0</v>
      </c>
      <c r="X326" s="63"/>
      <c r="Y326" s="63"/>
      <c r="Z326" s="63"/>
      <c r="AA326" s="61">
        <f>SUM(X326:Z326)</f>
        <v>0</v>
      </c>
      <c r="AB326" s="63"/>
      <c r="AC326" s="63"/>
      <c r="AD326" s="63"/>
      <c r="AE326" s="61">
        <f>SUM(AB326:AD326)</f>
        <v>0</v>
      </c>
      <c r="AF326" s="68">
        <f t="shared" si="76"/>
        <v>0</v>
      </c>
    </row>
    <row r="327" spans="1:32" x14ac:dyDescent="0.35">
      <c r="A327" s="66" t="s">
        <v>342</v>
      </c>
      <c r="B327" s="67" t="s">
        <v>330</v>
      </c>
      <c r="C327" s="66"/>
      <c r="D327" s="66">
        <f t="shared" ref="D327:AE327" si="77">SUM(D323:D326)</f>
        <v>0</v>
      </c>
      <c r="E327" s="66">
        <f t="shared" si="77"/>
        <v>0</v>
      </c>
      <c r="F327" s="66">
        <f t="shared" si="77"/>
        <v>0</v>
      </c>
      <c r="G327" s="61">
        <f t="shared" si="77"/>
        <v>0</v>
      </c>
      <c r="H327" s="66">
        <f t="shared" si="77"/>
        <v>0</v>
      </c>
      <c r="I327" s="66">
        <f t="shared" si="77"/>
        <v>0</v>
      </c>
      <c r="J327" s="66">
        <f t="shared" si="77"/>
        <v>0</v>
      </c>
      <c r="K327" s="61">
        <f t="shared" si="77"/>
        <v>0</v>
      </c>
      <c r="L327" s="66">
        <f t="shared" si="77"/>
        <v>0</v>
      </c>
      <c r="M327" s="66">
        <f t="shared" si="77"/>
        <v>0</v>
      </c>
      <c r="N327" s="66">
        <f t="shared" si="77"/>
        <v>0</v>
      </c>
      <c r="O327" s="61">
        <f t="shared" si="77"/>
        <v>0</v>
      </c>
      <c r="P327" s="66">
        <f t="shared" si="77"/>
        <v>0</v>
      </c>
      <c r="Q327" s="66">
        <f t="shared" si="77"/>
        <v>0</v>
      </c>
      <c r="R327" s="66">
        <f t="shared" si="77"/>
        <v>0</v>
      </c>
      <c r="S327" s="61">
        <f t="shared" si="77"/>
        <v>0</v>
      </c>
      <c r="T327" s="66">
        <f t="shared" si="77"/>
        <v>0</v>
      </c>
      <c r="U327" s="66">
        <f t="shared" si="77"/>
        <v>0</v>
      </c>
      <c r="V327" s="66">
        <f t="shared" si="77"/>
        <v>0</v>
      </c>
      <c r="W327" s="61">
        <f t="shared" si="77"/>
        <v>0</v>
      </c>
      <c r="X327" s="66">
        <f t="shared" si="77"/>
        <v>5</v>
      </c>
      <c r="Y327" s="66">
        <f t="shared" si="77"/>
        <v>0</v>
      </c>
      <c r="Z327" s="66">
        <f t="shared" si="77"/>
        <v>0</v>
      </c>
      <c r="AA327" s="61">
        <f t="shared" si="77"/>
        <v>5</v>
      </c>
      <c r="AB327" s="66">
        <f t="shared" si="77"/>
        <v>0</v>
      </c>
      <c r="AC327" s="66">
        <f t="shared" si="77"/>
        <v>0</v>
      </c>
      <c r="AD327" s="66">
        <f t="shared" si="77"/>
        <v>0</v>
      </c>
      <c r="AE327" s="61">
        <f t="shared" si="77"/>
        <v>0</v>
      </c>
      <c r="AF327" s="68">
        <f t="shared" si="76"/>
        <v>5</v>
      </c>
    </row>
    <row r="328" spans="1:32" hidden="1" x14ac:dyDescent="0.35">
      <c r="A328" s="59" t="s">
        <v>344</v>
      </c>
      <c r="B328" s="54" t="s">
        <v>345</v>
      </c>
      <c r="C328" s="60" t="s">
        <v>225</v>
      </c>
      <c r="D328" s="60"/>
      <c r="E328" s="60"/>
      <c r="F328" s="60"/>
      <c r="G328" s="61">
        <f>SUM(D328:F328)</f>
        <v>0</v>
      </c>
      <c r="H328" s="60"/>
      <c r="I328" s="60"/>
      <c r="J328" s="60"/>
      <c r="K328" s="61">
        <f>SUM(H328:J328)</f>
        <v>0</v>
      </c>
      <c r="L328" s="60"/>
      <c r="M328" s="60"/>
      <c r="N328" s="60"/>
      <c r="O328" s="61">
        <f>SUM(L328:N328)</f>
        <v>0</v>
      </c>
      <c r="P328" s="60"/>
      <c r="Q328" s="60"/>
      <c r="R328" s="60"/>
      <c r="S328" s="61">
        <f>SUM(P328:R328)</f>
        <v>0</v>
      </c>
      <c r="T328" s="60"/>
      <c r="U328" s="60"/>
      <c r="V328" s="60"/>
      <c r="W328" s="61">
        <f>SUM(T328:V328)</f>
        <v>0</v>
      </c>
      <c r="X328" s="60"/>
      <c r="Y328" s="60"/>
      <c r="Z328" s="60"/>
      <c r="AA328" s="61">
        <f>SUM(X328:Z328)</f>
        <v>0</v>
      </c>
      <c r="AB328" s="60"/>
      <c r="AC328" s="60"/>
      <c r="AD328" s="60"/>
      <c r="AE328" s="61">
        <f>SUM(AB328:AD328)</f>
        <v>0</v>
      </c>
      <c r="AF328" s="68">
        <f t="shared" si="76"/>
        <v>0</v>
      </c>
    </row>
    <row r="329" spans="1:32" hidden="1" x14ac:dyDescent="0.35">
      <c r="A329" s="111" t="s">
        <v>346</v>
      </c>
      <c r="B329" s="54"/>
      <c r="C329" s="63" t="s">
        <v>227</v>
      </c>
      <c r="D329" s="63"/>
      <c r="E329" s="63"/>
      <c r="F329" s="63"/>
      <c r="G329" s="61">
        <f>SUM(D329:F329)</f>
        <v>0</v>
      </c>
      <c r="H329" s="63"/>
      <c r="I329" s="63"/>
      <c r="J329" s="63"/>
      <c r="K329" s="61">
        <f>SUM(H329:J329)</f>
        <v>0</v>
      </c>
      <c r="L329" s="63"/>
      <c r="M329" s="63"/>
      <c r="N329" s="63"/>
      <c r="O329" s="61">
        <f>SUM(L329:N329)</f>
        <v>0</v>
      </c>
      <c r="P329" s="63"/>
      <c r="Q329" s="63"/>
      <c r="R329" s="63"/>
      <c r="S329" s="61">
        <f>SUM(P329:R329)</f>
        <v>0</v>
      </c>
      <c r="T329" s="63"/>
      <c r="U329" s="63"/>
      <c r="V329" s="63"/>
      <c r="W329" s="61">
        <f>SUM(T329:V329)</f>
        <v>0</v>
      </c>
      <c r="X329" s="63"/>
      <c r="Y329" s="63"/>
      <c r="Z329" s="63"/>
      <c r="AA329" s="61">
        <f>SUM(X329:Z329)</f>
        <v>0</v>
      </c>
      <c r="AB329" s="63"/>
      <c r="AC329" s="63"/>
      <c r="AD329" s="63"/>
      <c r="AE329" s="61">
        <f>SUM(AB329:AD329)</f>
        <v>0</v>
      </c>
      <c r="AF329" s="68">
        <f t="shared" si="76"/>
        <v>0</v>
      </c>
    </row>
    <row r="330" spans="1:32" hidden="1" x14ac:dyDescent="0.35">
      <c r="A330" s="111"/>
      <c r="B330" s="54"/>
      <c r="C330" s="60" t="s">
        <v>228</v>
      </c>
      <c r="D330" s="60"/>
      <c r="E330" s="60"/>
      <c r="F330" s="60"/>
      <c r="G330" s="61">
        <f>SUM(D330:F330)</f>
        <v>0</v>
      </c>
      <c r="H330" s="60"/>
      <c r="I330" s="60"/>
      <c r="J330" s="60"/>
      <c r="K330" s="61">
        <f>SUM(H330:J330)</f>
        <v>0</v>
      </c>
      <c r="L330" s="60"/>
      <c r="M330" s="60"/>
      <c r="N330" s="60"/>
      <c r="O330" s="61">
        <f>SUM(L330:N330)</f>
        <v>0</v>
      </c>
      <c r="P330" s="60"/>
      <c r="Q330" s="60"/>
      <c r="R330" s="60"/>
      <c r="S330" s="61">
        <f>SUM(P330:R330)</f>
        <v>0</v>
      </c>
      <c r="T330" s="60"/>
      <c r="U330" s="60"/>
      <c r="V330" s="60"/>
      <c r="W330" s="61">
        <f>SUM(T330:V330)</f>
        <v>0</v>
      </c>
      <c r="X330" s="60"/>
      <c r="Y330" s="60"/>
      <c r="Z330" s="60"/>
      <c r="AA330" s="61">
        <f>SUM(X330:Z330)</f>
        <v>0</v>
      </c>
      <c r="AB330" s="60"/>
      <c r="AC330" s="60"/>
      <c r="AD330" s="60"/>
      <c r="AE330" s="61">
        <f>SUM(AB330:AD330)</f>
        <v>0</v>
      </c>
      <c r="AF330" s="68">
        <f t="shared" si="76"/>
        <v>0</v>
      </c>
    </row>
    <row r="331" spans="1:32" hidden="1" x14ac:dyDescent="0.35">
      <c r="A331" s="111"/>
      <c r="B331" s="54"/>
      <c r="C331" s="63" t="s">
        <v>235</v>
      </c>
      <c r="D331" s="63"/>
      <c r="E331" s="63"/>
      <c r="F331" s="63"/>
      <c r="G331" s="61">
        <f>SUM(D331:F331)</f>
        <v>0</v>
      </c>
      <c r="H331" s="63"/>
      <c r="I331" s="63"/>
      <c r="J331" s="63"/>
      <c r="K331" s="61">
        <f>SUM(H331:J331)</f>
        <v>0</v>
      </c>
      <c r="L331" s="63"/>
      <c r="M331" s="63"/>
      <c r="N331" s="63"/>
      <c r="O331" s="61">
        <f>SUM(L331:N331)</f>
        <v>0</v>
      </c>
      <c r="P331" s="63"/>
      <c r="Q331" s="63"/>
      <c r="R331" s="63"/>
      <c r="S331" s="61">
        <f>SUM(P331:R331)</f>
        <v>0</v>
      </c>
      <c r="T331" s="63">
        <v>1</v>
      </c>
      <c r="U331" s="63"/>
      <c r="V331" s="63"/>
      <c r="W331" s="61">
        <f>SUM(T331:V331)</f>
        <v>1</v>
      </c>
      <c r="X331" s="63"/>
      <c r="Y331" s="63"/>
      <c r="Z331" s="63"/>
      <c r="AA331" s="61">
        <f>SUM(X331:Z331)</f>
        <v>0</v>
      </c>
      <c r="AB331" s="63"/>
      <c r="AC331" s="63"/>
      <c r="AD331" s="63"/>
      <c r="AE331" s="61">
        <f>SUM(AB331:AD331)</f>
        <v>0</v>
      </c>
      <c r="AF331" s="68">
        <f t="shared" si="76"/>
        <v>1</v>
      </c>
    </row>
    <row r="332" spans="1:32" x14ac:dyDescent="0.35">
      <c r="A332" s="66" t="s">
        <v>344</v>
      </c>
      <c r="B332" s="67" t="s">
        <v>345</v>
      </c>
      <c r="C332" s="66"/>
      <c r="D332" s="66">
        <f t="shared" ref="D332:AE332" si="78">SUM(D328:D331)</f>
        <v>0</v>
      </c>
      <c r="E332" s="66">
        <f t="shared" si="78"/>
        <v>0</v>
      </c>
      <c r="F332" s="66">
        <f t="shared" si="78"/>
        <v>0</v>
      </c>
      <c r="G332" s="61">
        <f t="shared" si="78"/>
        <v>0</v>
      </c>
      <c r="H332" s="66">
        <f t="shared" si="78"/>
        <v>0</v>
      </c>
      <c r="I332" s="66">
        <f t="shared" si="78"/>
        <v>0</v>
      </c>
      <c r="J332" s="66">
        <f t="shared" si="78"/>
        <v>0</v>
      </c>
      <c r="K332" s="61">
        <f t="shared" si="78"/>
        <v>0</v>
      </c>
      <c r="L332" s="66">
        <f t="shared" si="78"/>
        <v>0</v>
      </c>
      <c r="M332" s="66">
        <f t="shared" si="78"/>
        <v>0</v>
      </c>
      <c r="N332" s="66">
        <f t="shared" si="78"/>
        <v>0</v>
      </c>
      <c r="O332" s="61">
        <f t="shared" si="78"/>
        <v>0</v>
      </c>
      <c r="P332" s="66">
        <f t="shared" si="78"/>
        <v>0</v>
      </c>
      <c r="Q332" s="66">
        <f t="shared" si="78"/>
        <v>0</v>
      </c>
      <c r="R332" s="66">
        <f t="shared" si="78"/>
        <v>0</v>
      </c>
      <c r="S332" s="61">
        <f t="shared" si="78"/>
        <v>0</v>
      </c>
      <c r="T332" s="66">
        <f t="shared" si="78"/>
        <v>1</v>
      </c>
      <c r="U332" s="66">
        <f t="shared" si="78"/>
        <v>0</v>
      </c>
      <c r="V332" s="66">
        <f t="shared" si="78"/>
        <v>0</v>
      </c>
      <c r="W332" s="61">
        <f t="shared" si="78"/>
        <v>1</v>
      </c>
      <c r="X332" s="66">
        <f t="shared" si="78"/>
        <v>0</v>
      </c>
      <c r="Y332" s="66">
        <f t="shared" si="78"/>
        <v>0</v>
      </c>
      <c r="Z332" s="66">
        <f t="shared" si="78"/>
        <v>0</v>
      </c>
      <c r="AA332" s="61">
        <f t="shared" si="78"/>
        <v>0</v>
      </c>
      <c r="AB332" s="66">
        <f t="shared" si="78"/>
        <v>0</v>
      </c>
      <c r="AC332" s="66">
        <f t="shared" si="78"/>
        <v>0</v>
      </c>
      <c r="AD332" s="66">
        <f t="shared" si="78"/>
        <v>0</v>
      </c>
      <c r="AE332" s="61">
        <f t="shared" si="78"/>
        <v>0</v>
      </c>
      <c r="AF332" s="68">
        <f t="shared" si="76"/>
        <v>1</v>
      </c>
    </row>
    <row r="333" spans="1:32" ht="14.25" hidden="1" customHeight="1" x14ac:dyDescent="0.35">
      <c r="A333" s="59" t="s">
        <v>347</v>
      </c>
      <c r="B333" s="54" t="s">
        <v>348</v>
      </c>
      <c r="C333" s="60" t="s">
        <v>225</v>
      </c>
      <c r="D333" s="60"/>
      <c r="E333" s="60"/>
      <c r="F333" s="60"/>
      <c r="G333" s="61">
        <f>SUM(D333:F333)</f>
        <v>0</v>
      </c>
      <c r="H333" s="60"/>
      <c r="I333" s="60"/>
      <c r="J333" s="60"/>
      <c r="K333" s="61">
        <f>SUM(H333:J333)</f>
        <v>0</v>
      </c>
      <c r="L333" s="60"/>
      <c r="M333" s="60"/>
      <c r="N333" s="60"/>
      <c r="O333" s="61">
        <f>SUM(L333:N333)</f>
        <v>0</v>
      </c>
      <c r="P333" s="60"/>
      <c r="Q333" s="60"/>
      <c r="R333" s="60"/>
      <c r="S333" s="61">
        <f>SUM(P333:R333)</f>
        <v>0</v>
      </c>
      <c r="T333" s="60"/>
      <c r="U333" s="60"/>
      <c r="V333" s="60"/>
      <c r="W333" s="61">
        <f>SUM(T333:V333)</f>
        <v>0</v>
      </c>
      <c r="X333" s="60"/>
      <c r="Y333" s="60"/>
      <c r="Z333" s="60"/>
      <c r="AA333" s="61">
        <f>SUM(X333:Z333)</f>
        <v>0</v>
      </c>
      <c r="AB333" s="60"/>
      <c r="AC333" s="60"/>
      <c r="AD333" s="60"/>
      <c r="AE333" s="61">
        <f>SUM(AB333:AD333)</f>
        <v>0</v>
      </c>
      <c r="AF333" s="68">
        <f t="shared" si="76"/>
        <v>0</v>
      </c>
    </row>
    <row r="334" spans="1:32" hidden="1" x14ac:dyDescent="0.35">
      <c r="A334" s="111" t="s">
        <v>349</v>
      </c>
      <c r="B334" s="54"/>
      <c r="C334" s="63" t="s">
        <v>227</v>
      </c>
      <c r="D334" s="63"/>
      <c r="E334" s="63"/>
      <c r="F334" s="63"/>
      <c r="G334" s="61">
        <f>SUM(D334:F334)</f>
        <v>0</v>
      </c>
      <c r="H334" s="63"/>
      <c r="I334" s="63"/>
      <c r="J334" s="63"/>
      <c r="K334" s="61">
        <f>SUM(H334:J334)</f>
        <v>0</v>
      </c>
      <c r="L334" s="63"/>
      <c r="M334" s="63"/>
      <c r="N334" s="63"/>
      <c r="O334" s="61">
        <f>SUM(L334:N334)</f>
        <v>0</v>
      </c>
      <c r="P334" s="63"/>
      <c r="Q334" s="63"/>
      <c r="R334" s="63"/>
      <c r="S334" s="61">
        <f>SUM(P334:R334)</f>
        <v>0</v>
      </c>
      <c r="T334" s="63"/>
      <c r="U334" s="63"/>
      <c r="V334" s="63"/>
      <c r="W334" s="61">
        <f>SUM(T334:V334)</f>
        <v>0</v>
      </c>
      <c r="X334" s="63"/>
      <c r="Y334" s="63"/>
      <c r="Z334" s="63"/>
      <c r="AA334" s="61">
        <f>SUM(X334:Z334)</f>
        <v>0</v>
      </c>
      <c r="AB334" s="63"/>
      <c r="AC334" s="63"/>
      <c r="AD334" s="63"/>
      <c r="AE334" s="61">
        <f>SUM(AB334:AD334)</f>
        <v>0</v>
      </c>
      <c r="AF334" s="68">
        <f t="shared" si="76"/>
        <v>0</v>
      </c>
    </row>
    <row r="335" spans="1:32" hidden="1" x14ac:dyDescent="0.35">
      <c r="A335" s="111"/>
      <c r="B335" s="54"/>
      <c r="C335" s="60" t="s">
        <v>228</v>
      </c>
      <c r="D335" s="60"/>
      <c r="E335" s="60"/>
      <c r="F335" s="60"/>
      <c r="G335" s="61">
        <f>SUM(D335:F335)</f>
        <v>0</v>
      </c>
      <c r="H335" s="60"/>
      <c r="I335" s="60"/>
      <c r="J335" s="60"/>
      <c r="K335" s="61">
        <f>SUM(H335:J335)</f>
        <v>0</v>
      </c>
      <c r="L335" s="60"/>
      <c r="M335" s="60"/>
      <c r="N335" s="60"/>
      <c r="O335" s="61">
        <f>SUM(L335:N335)</f>
        <v>0</v>
      </c>
      <c r="P335" s="60"/>
      <c r="Q335" s="60"/>
      <c r="R335" s="60"/>
      <c r="S335" s="61">
        <f>SUM(P335:R335)</f>
        <v>0</v>
      </c>
      <c r="T335" s="60"/>
      <c r="U335" s="60"/>
      <c r="V335" s="60"/>
      <c r="W335" s="61">
        <f>SUM(T335:V335)</f>
        <v>0</v>
      </c>
      <c r="X335" s="60"/>
      <c r="Y335" s="60"/>
      <c r="Z335" s="60"/>
      <c r="AA335" s="61">
        <f>SUM(X335:Z335)</f>
        <v>0</v>
      </c>
      <c r="AB335" s="60"/>
      <c r="AC335" s="60"/>
      <c r="AD335" s="60"/>
      <c r="AE335" s="61">
        <f>SUM(AB335:AD335)</f>
        <v>0</v>
      </c>
      <c r="AF335" s="68">
        <f t="shared" si="76"/>
        <v>0</v>
      </c>
    </row>
    <row r="336" spans="1:32" hidden="1" x14ac:dyDescent="0.35">
      <c r="A336" s="111"/>
      <c r="B336" s="54"/>
      <c r="C336" s="63" t="s">
        <v>235</v>
      </c>
      <c r="D336" s="63"/>
      <c r="E336" s="63"/>
      <c r="F336" s="63"/>
      <c r="G336" s="61">
        <f>SUM(D336:F336)</f>
        <v>0</v>
      </c>
      <c r="H336" s="63"/>
      <c r="I336" s="63"/>
      <c r="J336" s="63"/>
      <c r="K336" s="61">
        <f>SUM(H336:J336)</f>
        <v>0</v>
      </c>
      <c r="L336" s="63"/>
      <c r="M336" s="63"/>
      <c r="N336" s="63"/>
      <c r="O336" s="61">
        <f>SUM(L336:N336)</f>
        <v>0</v>
      </c>
      <c r="P336" s="63"/>
      <c r="Q336" s="63"/>
      <c r="R336" s="63"/>
      <c r="S336" s="61">
        <f>SUM(P336:R336)</f>
        <v>0</v>
      </c>
      <c r="T336" s="63"/>
      <c r="U336" s="63"/>
      <c r="V336" s="63"/>
      <c r="W336" s="61">
        <f>SUM(T336:V336)</f>
        <v>0</v>
      </c>
      <c r="X336" s="63"/>
      <c r="Y336" s="63"/>
      <c r="Z336" s="63"/>
      <c r="AA336" s="61">
        <f>SUM(X336:Z336)</f>
        <v>0</v>
      </c>
      <c r="AB336" s="63"/>
      <c r="AC336" s="63"/>
      <c r="AD336" s="63"/>
      <c r="AE336" s="61">
        <f>SUM(AB336:AD336)</f>
        <v>0</v>
      </c>
      <c r="AF336" s="68">
        <f t="shared" si="76"/>
        <v>0</v>
      </c>
    </row>
    <row r="337" spans="1:32" x14ac:dyDescent="0.35">
      <c r="A337" s="66" t="s">
        <v>347</v>
      </c>
      <c r="B337" s="67" t="s">
        <v>348</v>
      </c>
      <c r="C337" s="66"/>
      <c r="D337" s="66">
        <f t="shared" ref="D337:AE337" si="79">SUM(D333:D336)</f>
        <v>0</v>
      </c>
      <c r="E337" s="66">
        <f t="shared" si="79"/>
        <v>0</v>
      </c>
      <c r="F337" s="66">
        <f t="shared" si="79"/>
        <v>0</v>
      </c>
      <c r="G337" s="61">
        <f t="shared" si="79"/>
        <v>0</v>
      </c>
      <c r="H337" s="66">
        <f t="shared" si="79"/>
        <v>0</v>
      </c>
      <c r="I337" s="66">
        <f t="shared" si="79"/>
        <v>0</v>
      </c>
      <c r="J337" s="66">
        <f t="shared" si="79"/>
        <v>0</v>
      </c>
      <c r="K337" s="61">
        <f t="shared" si="79"/>
        <v>0</v>
      </c>
      <c r="L337" s="66">
        <f t="shared" si="79"/>
        <v>0</v>
      </c>
      <c r="M337" s="66">
        <f t="shared" si="79"/>
        <v>0</v>
      </c>
      <c r="N337" s="66">
        <f t="shared" si="79"/>
        <v>0</v>
      </c>
      <c r="O337" s="61">
        <f t="shared" si="79"/>
        <v>0</v>
      </c>
      <c r="P337" s="66">
        <f t="shared" si="79"/>
        <v>0</v>
      </c>
      <c r="Q337" s="66">
        <f t="shared" si="79"/>
        <v>0</v>
      </c>
      <c r="R337" s="66">
        <f t="shared" si="79"/>
        <v>0</v>
      </c>
      <c r="S337" s="61">
        <f t="shared" si="79"/>
        <v>0</v>
      </c>
      <c r="T337" s="66">
        <f t="shared" si="79"/>
        <v>0</v>
      </c>
      <c r="U337" s="66">
        <f t="shared" si="79"/>
        <v>0</v>
      </c>
      <c r="V337" s="66">
        <f t="shared" si="79"/>
        <v>0</v>
      </c>
      <c r="W337" s="61">
        <f t="shared" si="79"/>
        <v>0</v>
      </c>
      <c r="X337" s="66">
        <f t="shared" si="79"/>
        <v>0</v>
      </c>
      <c r="Y337" s="66">
        <f t="shared" si="79"/>
        <v>0</v>
      </c>
      <c r="Z337" s="66">
        <f t="shared" si="79"/>
        <v>0</v>
      </c>
      <c r="AA337" s="61">
        <f t="shared" si="79"/>
        <v>0</v>
      </c>
      <c r="AB337" s="66">
        <f t="shared" si="79"/>
        <v>0</v>
      </c>
      <c r="AC337" s="66">
        <f t="shared" si="79"/>
        <v>0</v>
      </c>
      <c r="AD337" s="66">
        <f t="shared" si="79"/>
        <v>0</v>
      </c>
      <c r="AE337" s="61">
        <f t="shared" si="79"/>
        <v>0</v>
      </c>
      <c r="AF337" s="68">
        <f t="shared" si="76"/>
        <v>0</v>
      </c>
    </row>
    <row r="338" spans="1:32" hidden="1" x14ac:dyDescent="0.35">
      <c r="A338" s="59" t="s">
        <v>350</v>
      </c>
      <c r="B338" s="54" t="s">
        <v>351</v>
      </c>
      <c r="C338" s="60" t="s">
        <v>225</v>
      </c>
      <c r="D338" s="60"/>
      <c r="E338" s="60"/>
      <c r="F338" s="60"/>
      <c r="G338" s="61">
        <f>SUM(D338:F338)</f>
        <v>0</v>
      </c>
      <c r="H338" s="60"/>
      <c r="I338" s="60"/>
      <c r="J338" s="60"/>
      <c r="K338" s="61">
        <f>SUM(H338:J338)</f>
        <v>0</v>
      </c>
      <c r="L338" s="60"/>
      <c r="M338" s="60"/>
      <c r="N338" s="60"/>
      <c r="O338" s="61">
        <f>SUM(L338:N338)</f>
        <v>0</v>
      </c>
      <c r="P338" s="60"/>
      <c r="Q338" s="60"/>
      <c r="R338" s="60"/>
      <c r="S338" s="61">
        <f>SUM(P338:R338)</f>
        <v>0</v>
      </c>
      <c r="T338" s="60"/>
      <c r="U338" s="60"/>
      <c r="V338" s="60"/>
      <c r="W338" s="61">
        <f>SUM(T338:V338)</f>
        <v>0</v>
      </c>
      <c r="X338" s="60"/>
      <c r="Y338" s="60"/>
      <c r="Z338" s="60"/>
      <c r="AA338" s="61">
        <f>SUM(X338:Z338)</f>
        <v>0</v>
      </c>
      <c r="AB338" s="60"/>
      <c r="AC338" s="60"/>
      <c r="AD338" s="60"/>
      <c r="AE338" s="61">
        <f>SUM(AB338:AD338)</f>
        <v>0</v>
      </c>
      <c r="AF338" s="68">
        <f t="shared" si="76"/>
        <v>0</v>
      </c>
    </row>
    <row r="339" spans="1:32" hidden="1" x14ac:dyDescent="0.35">
      <c r="A339" s="111" t="s">
        <v>278</v>
      </c>
      <c r="B339" s="54"/>
      <c r="C339" s="63" t="s">
        <v>227</v>
      </c>
      <c r="D339" s="63"/>
      <c r="E339" s="63"/>
      <c r="F339" s="63"/>
      <c r="G339" s="61">
        <f>SUM(D339:F339)</f>
        <v>0</v>
      </c>
      <c r="H339" s="63"/>
      <c r="I339" s="63"/>
      <c r="J339" s="63"/>
      <c r="K339" s="61">
        <f>SUM(H339:J339)</f>
        <v>0</v>
      </c>
      <c r="L339" s="63"/>
      <c r="M339" s="63"/>
      <c r="N339" s="63"/>
      <c r="O339" s="61">
        <f>SUM(L339:N339)</f>
        <v>0</v>
      </c>
      <c r="P339" s="63"/>
      <c r="Q339" s="63"/>
      <c r="R339" s="63"/>
      <c r="S339" s="61">
        <f>SUM(P339:R339)</f>
        <v>0</v>
      </c>
      <c r="T339" s="63"/>
      <c r="U339" s="63"/>
      <c r="V339" s="63"/>
      <c r="W339" s="61">
        <f>SUM(T339:V339)</f>
        <v>0</v>
      </c>
      <c r="X339" s="63"/>
      <c r="Y339" s="63"/>
      <c r="Z339" s="63"/>
      <c r="AA339" s="61">
        <f>SUM(X339:Z339)</f>
        <v>0</v>
      </c>
      <c r="AB339" s="63"/>
      <c r="AC339" s="63"/>
      <c r="AD339" s="63"/>
      <c r="AE339" s="61">
        <f>SUM(AB339:AD339)</f>
        <v>0</v>
      </c>
      <c r="AF339" s="68">
        <f t="shared" si="76"/>
        <v>0</v>
      </c>
    </row>
    <row r="340" spans="1:32" hidden="1" x14ac:dyDescent="0.35">
      <c r="A340" s="111"/>
      <c r="B340" s="54"/>
      <c r="C340" s="60" t="s">
        <v>228</v>
      </c>
      <c r="D340" s="60"/>
      <c r="E340" s="60"/>
      <c r="F340" s="60"/>
      <c r="G340" s="61">
        <f>SUM(D340:F340)</f>
        <v>0</v>
      </c>
      <c r="H340" s="60"/>
      <c r="I340" s="60"/>
      <c r="J340" s="60"/>
      <c r="K340" s="61">
        <f>SUM(H340:J340)</f>
        <v>0</v>
      </c>
      <c r="L340" s="60"/>
      <c r="M340" s="60"/>
      <c r="N340" s="60"/>
      <c r="O340" s="61">
        <f>SUM(L340:N340)</f>
        <v>0</v>
      </c>
      <c r="P340" s="60"/>
      <c r="Q340" s="60"/>
      <c r="R340" s="60"/>
      <c r="S340" s="61">
        <f>SUM(P340:R340)</f>
        <v>0</v>
      </c>
      <c r="T340" s="60"/>
      <c r="U340" s="60"/>
      <c r="V340" s="60"/>
      <c r="W340" s="61">
        <f>SUM(T340:V340)</f>
        <v>0</v>
      </c>
      <c r="X340" s="60"/>
      <c r="Y340" s="60"/>
      <c r="Z340" s="60"/>
      <c r="AA340" s="61">
        <f>SUM(X340:Z340)</f>
        <v>0</v>
      </c>
      <c r="AB340" s="60"/>
      <c r="AC340" s="60"/>
      <c r="AD340" s="60"/>
      <c r="AE340" s="61">
        <f>SUM(AB340:AD340)</f>
        <v>0</v>
      </c>
      <c r="AF340" s="68">
        <f t="shared" si="76"/>
        <v>0</v>
      </c>
    </row>
    <row r="341" spans="1:32" hidden="1" x14ac:dyDescent="0.35">
      <c r="A341" s="111"/>
      <c r="B341" s="54"/>
      <c r="C341" s="63" t="s">
        <v>235</v>
      </c>
      <c r="D341" s="63"/>
      <c r="E341" s="63"/>
      <c r="F341" s="63"/>
      <c r="G341" s="61">
        <f>SUM(D341:F341)</f>
        <v>0</v>
      </c>
      <c r="H341" s="63"/>
      <c r="I341" s="63"/>
      <c r="J341" s="63"/>
      <c r="K341" s="61">
        <f>SUM(H341:J341)</f>
        <v>0</v>
      </c>
      <c r="L341" s="63"/>
      <c r="M341" s="63"/>
      <c r="N341" s="63"/>
      <c r="O341" s="61">
        <f>SUM(L341:N341)</f>
        <v>0</v>
      </c>
      <c r="P341" s="63"/>
      <c r="Q341" s="63"/>
      <c r="R341" s="63"/>
      <c r="S341" s="61">
        <f>SUM(P341:R341)</f>
        <v>0</v>
      </c>
      <c r="T341" s="63"/>
      <c r="U341" s="63"/>
      <c r="V341" s="63"/>
      <c r="W341" s="61">
        <f>SUM(T341:V341)</f>
        <v>0</v>
      </c>
      <c r="X341" s="63"/>
      <c r="Y341" s="63"/>
      <c r="Z341" s="63"/>
      <c r="AA341" s="61">
        <f>SUM(X341:Z341)</f>
        <v>0</v>
      </c>
      <c r="AB341" s="63"/>
      <c r="AC341" s="63"/>
      <c r="AD341" s="63"/>
      <c r="AE341" s="61">
        <f>SUM(AB341:AD341)</f>
        <v>0</v>
      </c>
      <c r="AF341" s="68">
        <f t="shared" si="76"/>
        <v>0</v>
      </c>
    </row>
    <row r="342" spans="1:32" hidden="1" x14ac:dyDescent="0.35">
      <c r="A342" s="66" t="s">
        <v>352</v>
      </c>
      <c r="B342" s="67"/>
      <c r="C342" s="66"/>
      <c r="D342" s="66">
        <f t="shared" ref="D342:AE342" si="80">SUM(D338:D341)</f>
        <v>0</v>
      </c>
      <c r="E342" s="66">
        <f t="shared" si="80"/>
        <v>0</v>
      </c>
      <c r="F342" s="66">
        <f t="shared" si="80"/>
        <v>0</v>
      </c>
      <c r="G342" s="61">
        <f t="shared" si="80"/>
        <v>0</v>
      </c>
      <c r="H342" s="66">
        <f t="shared" si="80"/>
        <v>0</v>
      </c>
      <c r="I342" s="66">
        <f t="shared" si="80"/>
        <v>0</v>
      </c>
      <c r="J342" s="66">
        <f t="shared" si="80"/>
        <v>0</v>
      </c>
      <c r="K342" s="61">
        <f t="shared" si="80"/>
        <v>0</v>
      </c>
      <c r="L342" s="66">
        <f t="shared" si="80"/>
        <v>0</v>
      </c>
      <c r="M342" s="66">
        <f t="shared" si="80"/>
        <v>0</v>
      </c>
      <c r="N342" s="66">
        <f t="shared" si="80"/>
        <v>0</v>
      </c>
      <c r="O342" s="61">
        <f t="shared" si="80"/>
        <v>0</v>
      </c>
      <c r="P342" s="66">
        <f t="shared" si="80"/>
        <v>0</v>
      </c>
      <c r="Q342" s="66">
        <f t="shared" si="80"/>
        <v>0</v>
      </c>
      <c r="R342" s="66">
        <f t="shared" si="80"/>
        <v>0</v>
      </c>
      <c r="S342" s="61">
        <f t="shared" si="80"/>
        <v>0</v>
      </c>
      <c r="T342" s="66">
        <f t="shared" si="80"/>
        <v>0</v>
      </c>
      <c r="U342" s="66">
        <f t="shared" si="80"/>
        <v>0</v>
      </c>
      <c r="V342" s="66">
        <f t="shared" si="80"/>
        <v>0</v>
      </c>
      <c r="W342" s="61">
        <f t="shared" si="80"/>
        <v>0</v>
      </c>
      <c r="X342" s="66">
        <f t="shared" si="80"/>
        <v>0</v>
      </c>
      <c r="Y342" s="66">
        <f t="shared" si="80"/>
        <v>0</v>
      </c>
      <c r="Z342" s="66">
        <f t="shared" si="80"/>
        <v>0</v>
      </c>
      <c r="AA342" s="61">
        <f t="shared" si="80"/>
        <v>0</v>
      </c>
      <c r="AB342" s="66">
        <f t="shared" si="80"/>
        <v>0</v>
      </c>
      <c r="AC342" s="66">
        <f t="shared" si="80"/>
        <v>0</v>
      </c>
      <c r="AD342" s="66">
        <f t="shared" si="80"/>
        <v>0</v>
      </c>
      <c r="AE342" s="61">
        <f t="shared" si="80"/>
        <v>0</v>
      </c>
      <c r="AF342" s="68">
        <f t="shared" si="76"/>
        <v>0</v>
      </c>
    </row>
    <row r="343" spans="1:32" hidden="1" x14ac:dyDescent="0.35">
      <c r="A343" s="111" t="s">
        <v>249</v>
      </c>
      <c r="B343" s="54"/>
      <c r="C343" s="60" t="s">
        <v>225</v>
      </c>
      <c r="D343" s="60"/>
      <c r="E343" s="60"/>
      <c r="F343" s="60"/>
      <c r="G343" s="61">
        <f>SUM(D343:F343)</f>
        <v>0</v>
      </c>
      <c r="H343" s="60"/>
      <c r="I343" s="60"/>
      <c r="J343" s="60"/>
      <c r="K343" s="61">
        <f>SUM(H343:J343)</f>
        <v>0</v>
      </c>
      <c r="L343" s="60"/>
      <c r="M343" s="60"/>
      <c r="N343" s="60"/>
      <c r="O343" s="61">
        <f>SUM(L343:N343)</f>
        <v>0</v>
      </c>
      <c r="P343" s="60"/>
      <c r="Q343" s="60"/>
      <c r="R343" s="60"/>
      <c r="S343" s="61">
        <f>SUM(P343:R343)</f>
        <v>0</v>
      </c>
      <c r="T343" s="60"/>
      <c r="U343" s="60"/>
      <c r="V343" s="60"/>
      <c r="W343" s="61">
        <f>SUM(T343:V343)</f>
        <v>0</v>
      </c>
      <c r="X343" s="60"/>
      <c r="Y343" s="60"/>
      <c r="Z343" s="60"/>
      <c r="AA343" s="61">
        <f>SUM(X343:Z343)</f>
        <v>0</v>
      </c>
      <c r="AB343" s="60"/>
      <c r="AC343" s="60"/>
      <c r="AD343" s="60"/>
      <c r="AE343" s="61">
        <f>SUM(AB343:AD343)</f>
        <v>0</v>
      </c>
      <c r="AF343" s="68">
        <f t="shared" si="76"/>
        <v>0</v>
      </c>
    </row>
    <row r="344" spans="1:32" hidden="1" x14ac:dyDescent="0.35">
      <c r="A344" s="111"/>
      <c r="B344" s="54"/>
      <c r="C344" s="63" t="s">
        <v>227</v>
      </c>
      <c r="D344" s="63"/>
      <c r="E344" s="63"/>
      <c r="F344" s="63"/>
      <c r="G344" s="61">
        <f>SUM(D344:F344)</f>
        <v>0</v>
      </c>
      <c r="H344" s="63"/>
      <c r="I344" s="63"/>
      <c r="J344" s="63"/>
      <c r="K344" s="61">
        <f>SUM(H344:J344)</f>
        <v>0</v>
      </c>
      <c r="L344" s="63"/>
      <c r="M344" s="63"/>
      <c r="N344" s="63"/>
      <c r="O344" s="61">
        <f>SUM(L344:N344)</f>
        <v>0</v>
      </c>
      <c r="P344" s="63"/>
      <c r="Q344" s="63"/>
      <c r="R344" s="63"/>
      <c r="S344" s="61">
        <f>SUM(P344:R344)</f>
        <v>0</v>
      </c>
      <c r="T344" s="63">
        <v>3</v>
      </c>
      <c r="U344" s="63"/>
      <c r="V344" s="63"/>
      <c r="W344" s="61">
        <f>SUM(T344:V344)</f>
        <v>3</v>
      </c>
      <c r="X344" s="63"/>
      <c r="Y344" s="63"/>
      <c r="Z344" s="63"/>
      <c r="AA344" s="61">
        <f>SUM(X344:Z344)</f>
        <v>0</v>
      </c>
      <c r="AB344" s="63"/>
      <c r="AC344" s="63"/>
      <c r="AD344" s="63"/>
      <c r="AE344" s="61">
        <f>SUM(AB344:AD344)</f>
        <v>0</v>
      </c>
      <c r="AF344" s="68">
        <f t="shared" si="76"/>
        <v>3</v>
      </c>
    </row>
    <row r="345" spans="1:32" hidden="1" x14ac:dyDescent="0.35">
      <c r="A345" s="111"/>
      <c r="B345" s="54"/>
      <c r="C345" s="60" t="s">
        <v>228</v>
      </c>
      <c r="D345" s="60"/>
      <c r="E345" s="60"/>
      <c r="F345" s="60"/>
      <c r="G345" s="61">
        <f>SUM(D345:F345)</f>
        <v>0</v>
      </c>
      <c r="H345" s="60"/>
      <c r="I345" s="60"/>
      <c r="J345" s="60"/>
      <c r="K345" s="61">
        <f>SUM(H345:J345)</f>
        <v>0</v>
      </c>
      <c r="L345" s="60"/>
      <c r="M345" s="60"/>
      <c r="N345" s="60"/>
      <c r="O345" s="61">
        <f>SUM(L345:N345)</f>
        <v>0</v>
      </c>
      <c r="P345" s="60"/>
      <c r="Q345" s="60"/>
      <c r="R345" s="60"/>
      <c r="S345" s="61">
        <f>SUM(P345:R345)</f>
        <v>0</v>
      </c>
      <c r="T345" s="60">
        <v>1</v>
      </c>
      <c r="U345" s="60"/>
      <c r="V345" s="60"/>
      <c r="W345" s="61">
        <f>SUM(T345:V345)</f>
        <v>1</v>
      </c>
      <c r="X345" s="60"/>
      <c r="Y345" s="60"/>
      <c r="Z345" s="60"/>
      <c r="AA345" s="61">
        <f>SUM(X345:Z345)</f>
        <v>0</v>
      </c>
      <c r="AB345" s="60"/>
      <c r="AC345" s="60"/>
      <c r="AD345" s="60"/>
      <c r="AE345" s="61">
        <f>SUM(AB345:AD345)</f>
        <v>0</v>
      </c>
      <c r="AF345" s="68">
        <f t="shared" si="76"/>
        <v>1</v>
      </c>
    </row>
    <row r="346" spans="1:32" hidden="1" x14ac:dyDescent="0.35">
      <c r="A346" s="111"/>
      <c r="B346" s="54"/>
      <c r="C346" s="63" t="s">
        <v>235</v>
      </c>
      <c r="D346" s="63"/>
      <c r="E346" s="63"/>
      <c r="F346" s="63"/>
      <c r="G346" s="61">
        <f>SUM(D346:F346)</f>
        <v>0</v>
      </c>
      <c r="H346" s="63"/>
      <c r="I346" s="63"/>
      <c r="J346" s="63"/>
      <c r="K346" s="61">
        <f>SUM(H346:J346)</f>
        <v>0</v>
      </c>
      <c r="L346" s="63"/>
      <c r="M346" s="63"/>
      <c r="N346" s="63"/>
      <c r="O346" s="61">
        <f>SUM(L346:N346)</f>
        <v>0</v>
      </c>
      <c r="P346" s="63"/>
      <c r="Q346" s="63"/>
      <c r="R346" s="63"/>
      <c r="S346" s="61">
        <f>SUM(P346:R346)</f>
        <v>0</v>
      </c>
      <c r="T346" s="63"/>
      <c r="U346" s="63"/>
      <c r="V346" s="63"/>
      <c r="W346" s="61">
        <f>SUM(T346:V346)</f>
        <v>0</v>
      </c>
      <c r="X346" s="63">
        <v>1</v>
      </c>
      <c r="Y346" s="63"/>
      <c r="Z346" s="63"/>
      <c r="AA346" s="61">
        <f>SUM(X346:Z346)</f>
        <v>1</v>
      </c>
      <c r="AB346" s="63"/>
      <c r="AC346" s="63"/>
      <c r="AD346" s="63"/>
      <c r="AE346" s="61">
        <f>SUM(AB346:AD346)</f>
        <v>0</v>
      </c>
      <c r="AF346" s="68">
        <f t="shared" si="76"/>
        <v>1</v>
      </c>
    </row>
    <row r="347" spans="1:32" hidden="1" x14ac:dyDescent="0.35">
      <c r="A347" s="76" t="s">
        <v>249</v>
      </c>
      <c r="B347" s="67"/>
      <c r="C347" s="66"/>
      <c r="D347" s="66">
        <f t="shared" ref="D347:AE347" si="81">SUM(D343:D346)</f>
        <v>0</v>
      </c>
      <c r="E347" s="66">
        <f t="shared" si="81"/>
        <v>0</v>
      </c>
      <c r="F347" s="66">
        <f t="shared" si="81"/>
        <v>0</v>
      </c>
      <c r="G347" s="61">
        <f t="shared" si="81"/>
        <v>0</v>
      </c>
      <c r="H347" s="66">
        <f t="shared" si="81"/>
        <v>0</v>
      </c>
      <c r="I347" s="66">
        <f t="shared" si="81"/>
        <v>0</v>
      </c>
      <c r="J347" s="66">
        <f t="shared" si="81"/>
        <v>0</v>
      </c>
      <c r="K347" s="61">
        <f t="shared" si="81"/>
        <v>0</v>
      </c>
      <c r="L347" s="66">
        <f t="shared" si="81"/>
        <v>0</v>
      </c>
      <c r="M347" s="66">
        <f t="shared" si="81"/>
        <v>0</v>
      </c>
      <c r="N347" s="66">
        <f t="shared" si="81"/>
        <v>0</v>
      </c>
      <c r="O347" s="61">
        <f t="shared" si="81"/>
        <v>0</v>
      </c>
      <c r="P347" s="66">
        <f t="shared" si="81"/>
        <v>0</v>
      </c>
      <c r="Q347" s="66">
        <f t="shared" si="81"/>
        <v>0</v>
      </c>
      <c r="R347" s="66">
        <f t="shared" si="81"/>
        <v>0</v>
      </c>
      <c r="S347" s="61">
        <f t="shared" si="81"/>
        <v>0</v>
      </c>
      <c r="T347" s="66">
        <f t="shared" si="81"/>
        <v>4</v>
      </c>
      <c r="U347" s="66">
        <f t="shared" si="81"/>
        <v>0</v>
      </c>
      <c r="V347" s="66">
        <f t="shared" si="81"/>
        <v>0</v>
      </c>
      <c r="W347" s="61">
        <f t="shared" si="81"/>
        <v>4</v>
      </c>
      <c r="X347" s="66">
        <f t="shared" si="81"/>
        <v>1</v>
      </c>
      <c r="Y347" s="66">
        <f t="shared" si="81"/>
        <v>0</v>
      </c>
      <c r="Z347" s="66">
        <f t="shared" si="81"/>
        <v>0</v>
      </c>
      <c r="AA347" s="61">
        <f t="shared" si="81"/>
        <v>1</v>
      </c>
      <c r="AB347" s="66">
        <f t="shared" si="81"/>
        <v>0</v>
      </c>
      <c r="AC347" s="66">
        <f t="shared" si="81"/>
        <v>0</v>
      </c>
      <c r="AD347" s="66">
        <f t="shared" si="81"/>
        <v>0</v>
      </c>
      <c r="AE347" s="61">
        <f t="shared" si="81"/>
        <v>0</v>
      </c>
      <c r="AF347" s="68">
        <f t="shared" si="76"/>
        <v>5</v>
      </c>
    </row>
    <row r="348" spans="1:32" x14ac:dyDescent="0.35">
      <c r="A348" s="66" t="s">
        <v>350</v>
      </c>
      <c r="B348" s="67" t="s">
        <v>351</v>
      </c>
      <c r="C348" s="66"/>
      <c r="D348" s="66">
        <f t="shared" ref="D348:AE348" si="82">SUM(D347,D342)</f>
        <v>0</v>
      </c>
      <c r="E348" s="66">
        <f t="shared" si="82"/>
        <v>0</v>
      </c>
      <c r="F348" s="66">
        <f t="shared" si="82"/>
        <v>0</v>
      </c>
      <c r="G348" s="61">
        <f t="shared" si="82"/>
        <v>0</v>
      </c>
      <c r="H348" s="66">
        <f t="shared" si="82"/>
        <v>0</v>
      </c>
      <c r="I348" s="66">
        <f t="shared" si="82"/>
        <v>0</v>
      </c>
      <c r="J348" s="66">
        <f t="shared" si="82"/>
        <v>0</v>
      </c>
      <c r="K348" s="61">
        <f t="shared" si="82"/>
        <v>0</v>
      </c>
      <c r="L348" s="66">
        <f t="shared" si="82"/>
        <v>0</v>
      </c>
      <c r="M348" s="66">
        <f t="shared" si="82"/>
        <v>0</v>
      </c>
      <c r="N348" s="66">
        <f t="shared" si="82"/>
        <v>0</v>
      </c>
      <c r="O348" s="61">
        <f t="shared" si="82"/>
        <v>0</v>
      </c>
      <c r="P348" s="66">
        <f t="shared" si="82"/>
        <v>0</v>
      </c>
      <c r="Q348" s="66">
        <f t="shared" si="82"/>
        <v>0</v>
      </c>
      <c r="R348" s="66">
        <f t="shared" si="82"/>
        <v>0</v>
      </c>
      <c r="S348" s="61">
        <f t="shared" si="82"/>
        <v>0</v>
      </c>
      <c r="T348" s="66">
        <f t="shared" si="82"/>
        <v>4</v>
      </c>
      <c r="U348" s="66">
        <f t="shared" si="82"/>
        <v>0</v>
      </c>
      <c r="V348" s="66">
        <f t="shared" si="82"/>
        <v>0</v>
      </c>
      <c r="W348" s="61">
        <f t="shared" si="82"/>
        <v>4</v>
      </c>
      <c r="X348" s="66">
        <f t="shared" si="82"/>
        <v>1</v>
      </c>
      <c r="Y348" s="66">
        <f t="shared" si="82"/>
        <v>0</v>
      </c>
      <c r="Z348" s="66">
        <f t="shared" si="82"/>
        <v>0</v>
      </c>
      <c r="AA348" s="61">
        <f t="shared" si="82"/>
        <v>1</v>
      </c>
      <c r="AB348" s="66">
        <f t="shared" si="82"/>
        <v>0</v>
      </c>
      <c r="AC348" s="66">
        <f t="shared" si="82"/>
        <v>0</v>
      </c>
      <c r="AD348" s="66">
        <f t="shared" si="82"/>
        <v>0</v>
      </c>
      <c r="AE348" s="61">
        <f t="shared" si="82"/>
        <v>0</v>
      </c>
      <c r="AF348" s="68">
        <f t="shared" si="76"/>
        <v>5</v>
      </c>
    </row>
    <row r="349" spans="1:32" hidden="1" x14ac:dyDescent="0.35">
      <c r="A349" s="59" t="s">
        <v>353</v>
      </c>
      <c r="B349" s="54"/>
      <c r="C349" s="60" t="s">
        <v>225</v>
      </c>
      <c r="D349" s="60"/>
      <c r="E349" s="60"/>
      <c r="F349" s="60"/>
      <c r="G349" s="61">
        <f>SUM(D349:F349)</f>
        <v>0</v>
      </c>
      <c r="H349" s="60"/>
      <c r="I349" s="60"/>
      <c r="J349" s="60"/>
      <c r="K349" s="61">
        <f>SUM(H349:J349)</f>
        <v>0</v>
      </c>
      <c r="L349" s="60"/>
      <c r="M349" s="60"/>
      <c r="N349" s="60"/>
      <c r="O349" s="61">
        <f>SUM(L349:N349)</f>
        <v>0</v>
      </c>
      <c r="P349" s="60"/>
      <c r="Q349" s="60"/>
      <c r="R349" s="60"/>
      <c r="S349" s="61">
        <f>SUM(P349:R349)</f>
        <v>0</v>
      </c>
      <c r="T349" s="60"/>
      <c r="U349" s="60"/>
      <c r="V349" s="60"/>
      <c r="W349" s="61">
        <f>SUM(T349:V349)</f>
        <v>0</v>
      </c>
      <c r="X349" s="60"/>
      <c r="Y349" s="60"/>
      <c r="Z349" s="60"/>
      <c r="AA349" s="61">
        <f>SUM(X349:Z349)</f>
        <v>0</v>
      </c>
      <c r="AB349" s="60"/>
      <c r="AC349" s="60"/>
      <c r="AD349" s="60"/>
      <c r="AE349" s="61">
        <f>SUM(AB349:AD349)</f>
        <v>0</v>
      </c>
      <c r="AF349" s="68">
        <f t="shared" si="76"/>
        <v>0</v>
      </c>
    </row>
    <row r="350" spans="1:32" hidden="1" x14ac:dyDescent="0.35">
      <c r="A350" s="111" t="s">
        <v>408</v>
      </c>
      <c r="B350" s="54"/>
      <c r="C350" s="63" t="s">
        <v>227</v>
      </c>
      <c r="D350" s="63"/>
      <c r="E350" s="63"/>
      <c r="F350" s="63"/>
      <c r="G350" s="61">
        <f>SUM(D350:F350)</f>
        <v>0</v>
      </c>
      <c r="H350" s="63"/>
      <c r="I350" s="63"/>
      <c r="J350" s="63"/>
      <c r="K350" s="61">
        <f>SUM(H350:J350)</f>
        <v>0</v>
      </c>
      <c r="L350" s="63"/>
      <c r="M350" s="63"/>
      <c r="N350" s="63"/>
      <c r="O350" s="61">
        <f>SUM(L350:N350)</f>
        <v>0</v>
      </c>
      <c r="P350" s="63"/>
      <c r="Q350" s="63"/>
      <c r="R350" s="63"/>
      <c r="S350" s="61">
        <f>SUM(P350:R350)</f>
        <v>0</v>
      </c>
      <c r="T350" s="63"/>
      <c r="U350" s="63"/>
      <c r="V350" s="63"/>
      <c r="W350" s="61">
        <f>SUM(T350:V350)</f>
        <v>0</v>
      </c>
      <c r="X350" s="63"/>
      <c r="Y350" s="63"/>
      <c r="Z350" s="63"/>
      <c r="AA350" s="61">
        <f>SUM(X350:Z350)</f>
        <v>0</v>
      </c>
      <c r="AB350" s="63"/>
      <c r="AC350" s="63"/>
      <c r="AD350" s="63"/>
      <c r="AE350" s="61">
        <f>SUM(AB350:AD350)</f>
        <v>0</v>
      </c>
      <c r="AF350" s="68">
        <f t="shared" si="76"/>
        <v>0</v>
      </c>
    </row>
    <row r="351" spans="1:32" hidden="1" x14ac:dyDescent="0.35">
      <c r="A351" s="111"/>
      <c r="B351" s="54"/>
      <c r="C351" s="60" t="s">
        <v>228</v>
      </c>
      <c r="D351" s="60"/>
      <c r="E351" s="60"/>
      <c r="F351" s="60"/>
      <c r="G351" s="61">
        <f>SUM(D351:F351)</f>
        <v>0</v>
      </c>
      <c r="H351" s="60"/>
      <c r="I351" s="60"/>
      <c r="J351" s="60"/>
      <c r="K351" s="61">
        <f>SUM(H351:J351)</f>
        <v>0</v>
      </c>
      <c r="L351" s="60"/>
      <c r="M351" s="60"/>
      <c r="N351" s="60"/>
      <c r="O351" s="61">
        <f>SUM(L351:N351)</f>
        <v>0</v>
      </c>
      <c r="P351" s="60"/>
      <c r="Q351" s="60"/>
      <c r="R351" s="60"/>
      <c r="S351" s="61">
        <f>SUM(P351:R351)</f>
        <v>0</v>
      </c>
      <c r="T351" s="60"/>
      <c r="U351" s="60"/>
      <c r="V351" s="60"/>
      <c r="W351" s="61">
        <f>SUM(T351:V351)</f>
        <v>0</v>
      </c>
      <c r="X351" s="60"/>
      <c r="Y351" s="60"/>
      <c r="Z351" s="60"/>
      <c r="AA351" s="61">
        <f>SUM(X351:Z351)</f>
        <v>0</v>
      </c>
      <c r="AB351" s="60"/>
      <c r="AC351" s="60"/>
      <c r="AD351" s="60"/>
      <c r="AE351" s="61">
        <f>SUM(AB351:AD351)</f>
        <v>0</v>
      </c>
      <c r="AF351" s="68">
        <f t="shared" si="76"/>
        <v>0</v>
      </c>
    </row>
    <row r="352" spans="1:32" hidden="1" x14ac:dyDescent="0.35">
      <c r="A352" s="111"/>
      <c r="B352" s="54"/>
      <c r="C352" s="63" t="s">
        <v>235</v>
      </c>
      <c r="D352" s="63"/>
      <c r="E352" s="63"/>
      <c r="F352" s="63"/>
      <c r="G352" s="61">
        <f>SUM(D352:F352)</f>
        <v>0</v>
      </c>
      <c r="H352" s="63"/>
      <c r="I352" s="63"/>
      <c r="J352" s="63"/>
      <c r="K352" s="61">
        <f>SUM(H352:J352)</f>
        <v>0</v>
      </c>
      <c r="L352" s="63"/>
      <c r="M352" s="63"/>
      <c r="N352" s="63"/>
      <c r="O352" s="61">
        <f>SUM(L352:N352)</f>
        <v>0</v>
      </c>
      <c r="P352" s="63"/>
      <c r="Q352" s="63"/>
      <c r="R352" s="63"/>
      <c r="S352" s="61">
        <f>SUM(P352:R352)</f>
        <v>0</v>
      </c>
      <c r="T352" s="63"/>
      <c r="U352" s="63"/>
      <c r="V352" s="63"/>
      <c r="W352" s="61">
        <f>SUM(T352:V352)</f>
        <v>0</v>
      </c>
      <c r="X352" s="63"/>
      <c r="Y352" s="63"/>
      <c r="Z352" s="63"/>
      <c r="AA352" s="61">
        <f>SUM(X352:Z352)</f>
        <v>0</v>
      </c>
      <c r="AB352" s="63"/>
      <c r="AC352" s="63"/>
      <c r="AD352" s="63"/>
      <c r="AE352" s="61">
        <f>SUM(AB352:AD352)</f>
        <v>0</v>
      </c>
      <c r="AF352" s="68">
        <f t="shared" si="76"/>
        <v>0</v>
      </c>
    </row>
    <row r="353" spans="1:32" hidden="1" x14ac:dyDescent="0.35">
      <c r="A353" s="66" t="s">
        <v>408</v>
      </c>
      <c r="B353" s="67"/>
      <c r="C353" s="66"/>
      <c r="D353" s="66">
        <f t="shared" ref="D353:AE353" si="83">SUM(D349:D352)</f>
        <v>0</v>
      </c>
      <c r="E353" s="66">
        <f t="shared" si="83"/>
        <v>0</v>
      </c>
      <c r="F353" s="66">
        <f t="shared" si="83"/>
        <v>0</v>
      </c>
      <c r="G353" s="61">
        <f t="shared" si="83"/>
        <v>0</v>
      </c>
      <c r="H353" s="66">
        <f t="shared" si="83"/>
        <v>0</v>
      </c>
      <c r="I353" s="66">
        <f t="shared" si="83"/>
        <v>0</v>
      </c>
      <c r="J353" s="66">
        <f t="shared" si="83"/>
        <v>0</v>
      </c>
      <c r="K353" s="61">
        <f t="shared" si="83"/>
        <v>0</v>
      </c>
      <c r="L353" s="66">
        <f t="shared" si="83"/>
        <v>0</v>
      </c>
      <c r="M353" s="66">
        <f t="shared" si="83"/>
        <v>0</v>
      </c>
      <c r="N353" s="66">
        <f t="shared" si="83"/>
        <v>0</v>
      </c>
      <c r="O353" s="61">
        <f t="shared" si="83"/>
        <v>0</v>
      </c>
      <c r="P353" s="66">
        <f t="shared" si="83"/>
        <v>0</v>
      </c>
      <c r="Q353" s="66">
        <f t="shared" si="83"/>
        <v>0</v>
      </c>
      <c r="R353" s="66">
        <f t="shared" si="83"/>
        <v>0</v>
      </c>
      <c r="S353" s="61">
        <f t="shared" si="83"/>
        <v>0</v>
      </c>
      <c r="T353" s="66">
        <f t="shared" si="83"/>
        <v>0</v>
      </c>
      <c r="U353" s="66">
        <f t="shared" si="83"/>
        <v>0</v>
      </c>
      <c r="V353" s="66">
        <f t="shared" si="83"/>
        <v>0</v>
      </c>
      <c r="W353" s="61">
        <f t="shared" si="83"/>
        <v>0</v>
      </c>
      <c r="X353" s="66">
        <f t="shared" si="83"/>
        <v>0</v>
      </c>
      <c r="Y353" s="66">
        <f t="shared" si="83"/>
        <v>0</v>
      </c>
      <c r="Z353" s="66">
        <f t="shared" si="83"/>
        <v>0</v>
      </c>
      <c r="AA353" s="61">
        <f t="shared" si="83"/>
        <v>0</v>
      </c>
      <c r="AB353" s="66">
        <f t="shared" si="83"/>
        <v>0</v>
      </c>
      <c r="AC353" s="66">
        <f t="shared" si="83"/>
        <v>0</v>
      </c>
      <c r="AD353" s="66">
        <f t="shared" si="83"/>
        <v>0</v>
      </c>
      <c r="AE353" s="61">
        <f t="shared" si="83"/>
        <v>0</v>
      </c>
      <c r="AF353" s="68">
        <f t="shared" si="76"/>
        <v>0</v>
      </c>
    </row>
    <row r="354" spans="1:32" hidden="1" x14ac:dyDescent="0.35">
      <c r="A354" s="79"/>
      <c r="B354" s="54"/>
      <c r="C354" s="60" t="s">
        <v>225</v>
      </c>
      <c r="D354" s="60"/>
      <c r="E354" s="60"/>
      <c r="F354" s="60"/>
      <c r="G354" s="61">
        <f>SUM(D354:F354)</f>
        <v>0</v>
      </c>
      <c r="H354" s="60"/>
      <c r="I354" s="60"/>
      <c r="J354" s="60"/>
      <c r="K354" s="61">
        <f>SUM(H354:J354)</f>
        <v>0</v>
      </c>
      <c r="L354" s="60"/>
      <c r="M354" s="60"/>
      <c r="N354" s="60"/>
      <c r="O354" s="61">
        <f>SUM(L354:N354)</f>
        <v>0</v>
      </c>
      <c r="P354" s="60"/>
      <c r="Q354" s="60"/>
      <c r="R354" s="60"/>
      <c r="S354" s="61">
        <f>SUM(P354:R354)</f>
        <v>0</v>
      </c>
      <c r="T354" s="60"/>
      <c r="U354" s="60"/>
      <c r="V354" s="60"/>
      <c r="W354" s="61">
        <f>SUM(T354:V354)</f>
        <v>0</v>
      </c>
      <c r="X354" s="60"/>
      <c r="Y354" s="60"/>
      <c r="Z354" s="60"/>
      <c r="AA354" s="61">
        <f>SUM(X354:Z354)</f>
        <v>0</v>
      </c>
      <c r="AB354" s="60"/>
      <c r="AC354" s="60"/>
      <c r="AD354" s="60"/>
      <c r="AE354" s="61">
        <f>SUM(AB354:AD354)</f>
        <v>0</v>
      </c>
      <c r="AF354" s="68">
        <f t="shared" si="76"/>
        <v>0</v>
      </c>
    </row>
    <row r="355" spans="1:32" hidden="1" x14ac:dyDescent="0.35">
      <c r="A355" s="111" t="s">
        <v>398</v>
      </c>
      <c r="B355" s="54"/>
      <c r="C355" s="63" t="s">
        <v>227</v>
      </c>
      <c r="D355" s="63"/>
      <c r="E355" s="63"/>
      <c r="F355" s="63"/>
      <c r="G355" s="61">
        <f>SUM(D355:F355)</f>
        <v>0</v>
      </c>
      <c r="H355" s="63"/>
      <c r="I355" s="63"/>
      <c r="J355" s="63"/>
      <c r="K355" s="61">
        <f>SUM(H355:J355)</f>
        <v>0</v>
      </c>
      <c r="L355" s="63"/>
      <c r="M355" s="63"/>
      <c r="N355" s="63"/>
      <c r="O355" s="61">
        <f>SUM(L355:N355)</f>
        <v>0</v>
      </c>
      <c r="P355" s="63"/>
      <c r="Q355" s="63"/>
      <c r="R355" s="63"/>
      <c r="S355" s="61">
        <f>SUM(P355:R355)</f>
        <v>0</v>
      </c>
      <c r="T355" s="63"/>
      <c r="U355" s="63"/>
      <c r="V355" s="63"/>
      <c r="W355" s="61">
        <f>SUM(T355:V355)</f>
        <v>0</v>
      </c>
      <c r="X355" s="63"/>
      <c r="Y355" s="63"/>
      <c r="Z355" s="63"/>
      <c r="AA355" s="61">
        <f>SUM(X355:Z355)</f>
        <v>0</v>
      </c>
      <c r="AB355" s="63"/>
      <c r="AC355" s="63"/>
      <c r="AD355" s="63"/>
      <c r="AE355" s="61">
        <f>SUM(AB355:AD355)</f>
        <v>0</v>
      </c>
      <c r="AF355" s="68">
        <f t="shared" si="76"/>
        <v>0</v>
      </c>
    </row>
    <row r="356" spans="1:32" hidden="1" x14ac:dyDescent="0.35">
      <c r="A356" s="111"/>
      <c r="B356" s="54"/>
      <c r="C356" s="60" t="s">
        <v>228</v>
      </c>
      <c r="D356" s="60"/>
      <c r="E356" s="60"/>
      <c r="F356" s="60"/>
      <c r="G356" s="61">
        <f>SUM(D356:F356)</f>
        <v>0</v>
      </c>
      <c r="H356" s="60"/>
      <c r="I356" s="60"/>
      <c r="J356" s="60"/>
      <c r="K356" s="61">
        <f>SUM(H356:J356)</f>
        <v>0</v>
      </c>
      <c r="L356" s="60"/>
      <c r="M356" s="60"/>
      <c r="N356" s="60"/>
      <c r="O356" s="61">
        <f>SUM(L356:N356)</f>
        <v>0</v>
      </c>
      <c r="P356" s="60"/>
      <c r="Q356" s="60"/>
      <c r="R356" s="60"/>
      <c r="S356" s="61">
        <f>SUM(P356:R356)</f>
        <v>0</v>
      </c>
      <c r="T356" s="60">
        <v>10</v>
      </c>
      <c r="U356" s="60"/>
      <c r="V356" s="60"/>
      <c r="W356" s="61">
        <f>SUM(T356:V356)</f>
        <v>10</v>
      </c>
      <c r="X356" s="60"/>
      <c r="Y356" s="60"/>
      <c r="Z356" s="60"/>
      <c r="AA356" s="61">
        <f>SUM(X356:Z356)</f>
        <v>0</v>
      </c>
      <c r="AB356" s="60"/>
      <c r="AC356" s="60"/>
      <c r="AD356" s="60"/>
      <c r="AE356" s="61">
        <f>SUM(AB356:AD356)</f>
        <v>0</v>
      </c>
      <c r="AF356" s="68">
        <f t="shared" si="76"/>
        <v>10</v>
      </c>
    </row>
    <row r="357" spans="1:32" hidden="1" x14ac:dyDescent="0.35">
      <c r="A357" s="111"/>
      <c r="B357" s="54"/>
      <c r="C357" s="63" t="s">
        <v>235</v>
      </c>
      <c r="D357" s="63"/>
      <c r="E357" s="63"/>
      <c r="F357" s="63"/>
      <c r="G357" s="61">
        <f>SUM(D357:F357)</f>
        <v>0</v>
      </c>
      <c r="H357" s="63"/>
      <c r="I357" s="63"/>
      <c r="J357" s="63"/>
      <c r="K357" s="61">
        <f>SUM(H357:J357)</f>
        <v>0</v>
      </c>
      <c r="L357" s="63">
        <v>1</v>
      </c>
      <c r="M357" s="63"/>
      <c r="N357" s="63"/>
      <c r="O357" s="61">
        <f>SUM(L357:N357)</f>
        <v>1</v>
      </c>
      <c r="P357" s="63"/>
      <c r="Q357" s="63"/>
      <c r="R357" s="63"/>
      <c r="S357" s="61">
        <f>SUM(P357:R357)</f>
        <v>0</v>
      </c>
      <c r="T357" s="63">
        <v>2</v>
      </c>
      <c r="U357" s="63"/>
      <c r="V357" s="63"/>
      <c r="W357" s="61">
        <f>SUM(T357:V357)</f>
        <v>2</v>
      </c>
      <c r="X357" s="63"/>
      <c r="Y357" s="63"/>
      <c r="Z357" s="63"/>
      <c r="AA357" s="61">
        <f>SUM(X357:Z357)</f>
        <v>0</v>
      </c>
      <c r="AB357" s="63"/>
      <c r="AC357" s="63"/>
      <c r="AD357" s="63"/>
      <c r="AE357" s="61">
        <f>SUM(AB357:AD357)</f>
        <v>0</v>
      </c>
      <c r="AF357" s="68">
        <f t="shared" si="76"/>
        <v>3</v>
      </c>
    </row>
    <row r="358" spans="1:32" hidden="1" x14ac:dyDescent="0.35">
      <c r="A358" s="66" t="s">
        <v>398</v>
      </c>
      <c r="B358" s="67"/>
      <c r="C358" s="66"/>
      <c r="D358" s="66">
        <f t="shared" ref="D358:AF358" si="84">SUM(D354:D357)</f>
        <v>0</v>
      </c>
      <c r="E358" s="66">
        <f t="shared" si="84"/>
        <v>0</v>
      </c>
      <c r="F358" s="66">
        <f t="shared" si="84"/>
        <v>0</v>
      </c>
      <c r="G358" s="61">
        <f t="shared" si="84"/>
        <v>0</v>
      </c>
      <c r="H358" s="66">
        <f t="shared" si="84"/>
        <v>0</v>
      </c>
      <c r="I358" s="66">
        <f t="shared" si="84"/>
        <v>0</v>
      </c>
      <c r="J358" s="66">
        <f t="shared" si="84"/>
        <v>0</v>
      </c>
      <c r="K358" s="61">
        <f t="shared" si="84"/>
        <v>0</v>
      </c>
      <c r="L358" s="66">
        <f t="shared" si="84"/>
        <v>1</v>
      </c>
      <c r="M358" s="66">
        <f t="shared" si="84"/>
        <v>0</v>
      </c>
      <c r="N358" s="66">
        <f t="shared" si="84"/>
        <v>0</v>
      </c>
      <c r="O358" s="61">
        <f t="shared" si="84"/>
        <v>1</v>
      </c>
      <c r="P358" s="66">
        <f t="shared" si="84"/>
        <v>0</v>
      </c>
      <c r="Q358" s="66">
        <f t="shared" si="84"/>
        <v>0</v>
      </c>
      <c r="R358" s="66">
        <f t="shared" si="84"/>
        <v>0</v>
      </c>
      <c r="S358" s="61">
        <f t="shared" si="84"/>
        <v>0</v>
      </c>
      <c r="T358" s="66">
        <f t="shared" si="84"/>
        <v>12</v>
      </c>
      <c r="U358" s="66">
        <f t="shared" si="84"/>
        <v>0</v>
      </c>
      <c r="V358" s="66">
        <f t="shared" si="84"/>
        <v>0</v>
      </c>
      <c r="W358" s="61">
        <f t="shared" si="84"/>
        <v>12</v>
      </c>
      <c r="X358" s="66">
        <f t="shared" si="84"/>
        <v>0</v>
      </c>
      <c r="Y358" s="66">
        <f t="shared" si="84"/>
        <v>0</v>
      </c>
      <c r="Z358" s="66">
        <f t="shared" si="84"/>
        <v>0</v>
      </c>
      <c r="AA358" s="61">
        <f t="shared" si="84"/>
        <v>0</v>
      </c>
      <c r="AB358" s="66">
        <f t="shared" si="84"/>
        <v>0</v>
      </c>
      <c r="AC358" s="66">
        <f t="shared" si="84"/>
        <v>0</v>
      </c>
      <c r="AD358" s="66">
        <f t="shared" si="84"/>
        <v>0</v>
      </c>
      <c r="AE358" s="61">
        <f t="shared" si="84"/>
        <v>0</v>
      </c>
      <c r="AF358" s="68">
        <f t="shared" si="84"/>
        <v>13</v>
      </c>
    </row>
    <row r="359" spans="1:32" x14ac:dyDescent="0.35">
      <c r="A359" s="66" t="s">
        <v>353</v>
      </c>
      <c r="B359" s="67"/>
      <c r="C359" s="66"/>
      <c r="D359" s="66">
        <f t="shared" ref="D359:AF359" si="85">SUM(D358,D353)</f>
        <v>0</v>
      </c>
      <c r="E359" s="66">
        <f t="shared" si="85"/>
        <v>0</v>
      </c>
      <c r="F359" s="66">
        <f t="shared" si="85"/>
        <v>0</v>
      </c>
      <c r="G359" s="61">
        <f t="shared" si="85"/>
        <v>0</v>
      </c>
      <c r="H359" s="66">
        <f t="shared" si="85"/>
        <v>0</v>
      </c>
      <c r="I359" s="66">
        <f t="shared" si="85"/>
        <v>0</v>
      </c>
      <c r="J359" s="66">
        <f t="shared" si="85"/>
        <v>0</v>
      </c>
      <c r="K359" s="61">
        <f t="shared" si="85"/>
        <v>0</v>
      </c>
      <c r="L359" s="66">
        <f t="shared" si="85"/>
        <v>1</v>
      </c>
      <c r="M359" s="66">
        <f t="shared" si="85"/>
        <v>0</v>
      </c>
      <c r="N359" s="66">
        <f t="shared" si="85"/>
        <v>0</v>
      </c>
      <c r="O359" s="61">
        <f t="shared" si="85"/>
        <v>1</v>
      </c>
      <c r="P359" s="66">
        <f t="shared" si="85"/>
        <v>0</v>
      </c>
      <c r="Q359" s="66">
        <f t="shared" si="85"/>
        <v>0</v>
      </c>
      <c r="R359" s="66">
        <f t="shared" si="85"/>
        <v>0</v>
      </c>
      <c r="S359" s="61">
        <f t="shared" si="85"/>
        <v>0</v>
      </c>
      <c r="T359" s="66">
        <f t="shared" si="85"/>
        <v>12</v>
      </c>
      <c r="U359" s="66">
        <f t="shared" si="85"/>
        <v>0</v>
      </c>
      <c r="V359" s="66">
        <f t="shared" si="85"/>
        <v>0</v>
      </c>
      <c r="W359" s="61">
        <f t="shared" si="85"/>
        <v>12</v>
      </c>
      <c r="X359" s="66">
        <f t="shared" si="85"/>
        <v>0</v>
      </c>
      <c r="Y359" s="66">
        <f t="shared" si="85"/>
        <v>0</v>
      </c>
      <c r="Z359" s="66">
        <f t="shared" si="85"/>
        <v>0</v>
      </c>
      <c r="AA359" s="61">
        <f t="shared" si="85"/>
        <v>0</v>
      </c>
      <c r="AB359" s="66">
        <f t="shared" si="85"/>
        <v>0</v>
      </c>
      <c r="AC359" s="66">
        <f t="shared" si="85"/>
        <v>0</v>
      </c>
      <c r="AD359" s="66">
        <f t="shared" si="85"/>
        <v>0</v>
      </c>
      <c r="AE359" s="61">
        <f t="shared" si="85"/>
        <v>0</v>
      </c>
      <c r="AF359" s="68">
        <f t="shared" si="85"/>
        <v>13</v>
      </c>
    </row>
    <row r="360" spans="1:32" hidden="1" x14ac:dyDescent="0.35">
      <c r="A360" s="59" t="s">
        <v>356</v>
      </c>
      <c r="B360" s="54">
        <v>4</v>
      </c>
      <c r="C360" s="60" t="s">
        <v>225</v>
      </c>
      <c r="D360" s="60"/>
      <c r="E360" s="60"/>
      <c r="F360" s="60"/>
      <c r="G360" s="61">
        <f>SUM(D360:F360)</f>
        <v>0</v>
      </c>
      <c r="H360" s="60"/>
      <c r="I360" s="60"/>
      <c r="J360" s="60"/>
      <c r="K360" s="61">
        <f>SUM(H360:J360)</f>
        <v>0</v>
      </c>
      <c r="L360" s="60"/>
      <c r="M360" s="60"/>
      <c r="N360" s="60"/>
      <c r="O360" s="61">
        <f>SUM(L360:N360)</f>
        <v>0</v>
      </c>
      <c r="P360" s="60"/>
      <c r="Q360" s="60"/>
      <c r="R360" s="60"/>
      <c r="S360" s="61">
        <f>SUM(P360:R360)</f>
        <v>0</v>
      </c>
      <c r="T360" s="60"/>
      <c r="U360" s="60"/>
      <c r="V360" s="60"/>
      <c r="W360" s="61">
        <f>SUM(T360:V360)</f>
        <v>0</v>
      </c>
      <c r="X360" s="60"/>
      <c r="Y360" s="60"/>
      <c r="Z360" s="60"/>
      <c r="AA360" s="61">
        <f>SUM(X360:Z360)</f>
        <v>0</v>
      </c>
      <c r="AB360" s="60"/>
      <c r="AC360" s="60"/>
      <c r="AD360" s="60"/>
      <c r="AE360" s="61">
        <f>SUM(AB360:AD360)</f>
        <v>0</v>
      </c>
      <c r="AF360" s="68">
        <f t="shared" ref="AF360:AF391" si="86">SUM(G360,K360,O360,S360,W360,AA360,AE360)</f>
        <v>0</v>
      </c>
    </row>
    <row r="361" spans="1:32" hidden="1" x14ac:dyDescent="0.35">
      <c r="A361" s="85" t="s">
        <v>280</v>
      </c>
      <c r="B361" s="54"/>
      <c r="C361" s="63" t="s">
        <v>227</v>
      </c>
      <c r="D361" s="63"/>
      <c r="E361" s="63"/>
      <c r="F361" s="63"/>
      <c r="G361" s="61">
        <f>SUM(D361:F361)</f>
        <v>0</v>
      </c>
      <c r="H361" s="63"/>
      <c r="I361" s="63"/>
      <c r="J361" s="63"/>
      <c r="K361" s="61">
        <f>SUM(H361:J361)</f>
        <v>0</v>
      </c>
      <c r="L361" s="63"/>
      <c r="M361" s="63"/>
      <c r="N361" s="63"/>
      <c r="O361" s="61">
        <f>SUM(L361:N361)</f>
        <v>0</v>
      </c>
      <c r="P361" s="63"/>
      <c r="Q361" s="63"/>
      <c r="R361" s="63"/>
      <c r="S361" s="61">
        <f>SUM(P361:R361)</f>
        <v>0</v>
      </c>
      <c r="T361" s="63"/>
      <c r="U361" s="63"/>
      <c r="V361" s="63"/>
      <c r="W361" s="61">
        <f>SUM(T361:V361)</f>
        <v>0</v>
      </c>
      <c r="X361" s="63"/>
      <c r="Y361" s="63"/>
      <c r="Z361" s="63"/>
      <c r="AA361" s="61">
        <f>SUM(X361:Z361)</f>
        <v>0</v>
      </c>
      <c r="AB361" s="63"/>
      <c r="AC361" s="63"/>
      <c r="AD361" s="63"/>
      <c r="AE361" s="61">
        <f>SUM(AB361:AD361)</f>
        <v>0</v>
      </c>
      <c r="AF361" s="68">
        <f t="shared" si="86"/>
        <v>0</v>
      </c>
    </row>
    <row r="362" spans="1:32" hidden="1" x14ac:dyDescent="0.35">
      <c r="A362" s="85"/>
      <c r="B362" s="54"/>
      <c r="C362" s="60" t="s">
        <v>228</v>
      </c>
      <c r="D362" s="60"/>
      <c r="E362" s="60"/>
      <c r="F362" s="60"/>
      <c r="G362" s="61">
        <f>SUM(D362:F362)</f>
        <v>0</v>
      </c>
      <c r="H362" s="60"/>
      <c r="I362" s="60"/>
      <c r="J362" s="60"/>
      <c r="K362" s="61">
        <f>SUM(H362:J362)</f>
        <v>0</v>
      </c>
      <c r="L362" s="60"/>
      <c r="M362" s="60"/>
      <c r="N362" s="60"/>
      <c r="O362" s="61">
        <f>SUM(L362:N362)</f>
        <v>0</v>
      </c>
      <c r="P362" s="60"/>
      <c r="Q362" s="60"/>
      <c r="R362" s="60"/>
      <c r="S362" s="61">
        <f>SUM(P362:R362)</f>
        <v>0</v>
      </c>
      <c r="T362" s="60"/>
      <c r="U362" s="60"/>
      <c r="V362" s="60"/>
      <c r="W362" s="61">
        <f>SUM(T362:V362)</f>
        <v>0</v>
      </c>
      <c r="X362" s="60"/>
      <c r="Y362" s="60"/>
      <c r="Z362" s="60"/>
      <c r="AA362" s="61">
        <f>SUM(X362:Z362)</f>
        <v>0</v>
      </c>
      <c r="AB362" s="60"/>
      <c r="AC362" s="60"/>
      <c r="AD362" s="60"/>
      <c r="AE362" s="61">
        <f>SUM(AB362:AD362)</f>
        <v>0</v>
      </c>
      <c r="AF362" s="68">
        <f t="shared" si="86"/>
        <v>0</v>
      </c>
    </row>
    <row r="363" spans="1:32" hidden="1" x14ac:dyDescent="0.35">
      <c r="A363" s="85"/>
      <c r="B363" s="54"/>
      <c r="C363" s="63" t="s">
        <v>235</v>
      </c>
      <c r="D363" s="63"/>
      <c r="E363" s="63"/>
      <c r="F363" s="63"/>
      <c r="G363" s="61">
        <f>SUM(D363:F363)</f>
        <v>0</v>
      </c>
      <c r="H363" s="63"/>
      <c r="I363" s="63"/>
      <c r="J363" s="63"/>
      <c r="K363" s="61">
        <f>SUM(H363:J363)</f>
        <v>0</v>
      </c>
      <c r="L363" s="63"/>
      <c r="M363" s="63"/>
      <c r="N363" s="63"/>
      <c r="O363" s="61">
        <f>SUM(L363:N363)</f>
        <v>0</v>
      </c>
      <c r="P363" s="63"/>
      <c r="Q363" s="63"/>
      <c r="R363" s="63"/>
      <c r="S363" s="61">
        <f>SUM(P363:R363)</f>
        <v>0</v>
      </c>
      <c r="T363" s="63"/>
      <c r="U363" s="63"/>
      <c r="V363" s="63"/>
      <c r="W363" s="61">
        <f>SUM(T363:V363)</f>
        <v>0</v>
      </c>
      <c r="X363" s="63"/>
      <c r="Y363" s="63"/>
      <c r="Z363" s="63"/>
      <c r="AA363" s="61">
        <f>SUM(X363:Z363)</f>
        <v>0</v>
      </c>
      <c r="AB363" s="63"/>
      <c r="AC363" s="63"/>
      <c r="AD363" s="63"/>
      <c r="AE363" s="61">
        <f>SUM(AB363:AD363)</f>
        <v>0</v>
      </c>
      <c r="AF363" s="68">
        <f t="shared" si="86"/>
        <v>0</v>
      </c>
    </row>
    <row r="364" spans="1:32" x14ac:dyDescent="0.35">
      <c r="A364" s="66" t="s">
        <v>356</v>
      </c>
      <c r="B364" s="67">
        <v>4</v>
      </c>
      <c r="C364" s="66"/>
      <c r="D364" s="66">
        <f t="shared" ref="D364:AE364" si="87">SUM(D360:D363)</f>
        <v>0</v>
      </c>
      <c r="E364" s="66">
        <f t="shared" si="87"/>
        <v>0</v>
      </c>
      <c r="F364" s="66">
        <f t="shared" si="87"/>
        <v>0</v>
      </c>
      <c r="G364" s="61">
        <f t="shared" si="87"/>
        <v>0</v>
      </c>
      <c r="H364" s="66">
        <f t="shared" si="87"/>
        <v>0</v>
      </c>
      <c r="I364" s="66">
        <f t="shared" si="87"/>
        <v>0</v>
      </c>
      <c r="J364" s="66">
        <f t="shared" si="87"/>
        <v>0</v>
      </c>
      <c r="K364" s="61">
        <f t="shared" si="87"/>
        <v>0</v>
      </c>
      <c r="L364" s="66">
        <f t="shared" si="87"/>
        <v>0</v>
      </c>
      <c r="M364" s="66">
        <f t="shared" si="87"/>
        <v>0</v>
      </c>
      <c r="N364" s="66">
        <f t="shared" si="87"/>
        <v>0</v>
      </c>
      <c r="O364" s="61">
        <f t="shared" si="87"/>
        <v>0</v>
      </c>
      <c r="P364" s="66">
        <f t="shared" si="87"/>
        <v>0</v>
      </c>
      <c r="Q364" s="66">
        <f t="shared" si="87"/>
        <v>0</v>
      </c>
      <c r="R364" s="66">
        <f t="shared" si="87"/>
        <v>0</v>
      </c>
      <c r="S364" s="61">
        <f t="shared" si="87"/>
        <v>0</v>
      </c>
      <c r="T364" s="66">
        <f t="shared" si="87"/>
        <v>0</v>
      </c>
      <c r="U364" s="66">
        <f t="shared" si="87"/>
        <v>0</v>
      </c>
      <c r="V364" s="66">
        <f t="shared" si="87"/>
        <v>0</v>
      </c>
      <c r="W364" s="61">
        <f t="shared" si="87"/>
        <v>0</v>
      </c>
      <c r="X364" s="66">
        <f t="shared" si="87"/>
        <v>0</v>
      </c>
      <c r="Y364" s="66">
        <f t="shared" si="87"/>
        <v>0</v>
      </c>
      <c r="Z364" s="66">
        <f t="shared" si="87"/>
        <v>0</v>
      </c>
      <c r="AA364" s="61">
        <f t="shared" si="87"/>
        <v>0</v>
      </c>
      <c r="AB364" s="66">
        <f t="shared" si="87"/>
        <v>0</v>
      </c>
      <c r="AC364" s="66">
        <f t="shared" si="87"/>
        <v>0</v>
      </c>
      <c r="AD364" s="66">
        <f t="shared" si="87"/>
        <v>0</v>
      </c>
      <c r="AE364" s="61">
        <f t="shared" si="87"/>
        <v>0</v>
      </c>
      <c r="AF364" s="68">
        <f t="shared" si="86"/>
        <v>0</v>
      </c>
    </row>
    <row r="365" spans="1:32" hidden="1" x14ac:dyDescent="0.35">
      <c r="A365" s="59" t="s">
        <v>407</v>
      </c>
      <c r="B365" s="54" t="s">
        <v>358</v>
      </c>
      <c r="C365" s="60" t="s">
        <v>225</v>
      </c>
      <c r="D365" s="60"/>
      <c r="E365" s="60"/>
      <c r="F365" s="60"/>
      <c r="G365" s="61">
        <f>SUM(D365:F365)</f>
        <v>0</v>
      </c>
      <c r="H365" s="60"/>
      <c r="I365" s="60"/>
      <c r="J365" s="60"/>
      <c r="K365" s="61">
        <f>SUM(H365:J365)</f>
        <v>0</v>
      </c>
      <c r="L365" s="60"/>
      <c r="M365" s="60"/>
      <c r="N365" s="60"/>
      <c r="O365" s="61">
        <f>SUM(L365:N365)</f>
        <v>0</v>
      </c>
      <c r="P365" s="60"/>
      <c r="Q365" s="60"/>
      <c r="R365" s="60"/>
      <c r="S365" s="61">
        <f>SUM(P365:R365)</f>
        <v>0</v>
      </c>
      <c r="T365" s="60"/>
      <c r="U365" s="60"/>
      <c r="V365" s="60"/>
      <c r="W365" s="61">
        <f>SUM(T365:V365)</f>
        <v>0</v>
      </c>
      <c r="X365" s="60"/>
      <c r="Y365" s="60"/>
      <c r="Z365" s="60"/>
      <c r="AA365" s="61">
        <f>SUM(X365:Z365)</f>
        <v>0</v>
      </c>
      <c r="AB365" s="60"/>
      <c r="AC365" s="60"/>
      <c r="AD365" s="60"/>
      <c r="AE365" s="61">
        <f>SUM(AB365:AD365)</f>
        <v>0</v>
      </c>
      <c r="AF365" s="68">
        <f t="shared" si="86"/>
        <v>0</v>
      </c>
    </row>
    <row r="366" spans="1:32" hidden="1" x14ac:dyDescent="0.35">
      <c r="A366" s="111" t="s">
        <v>267</v>
      </c>
      <c r="B366" s="54"/>
      <c r="C366" s="63" t="s">
        <v>227</v>
      </c>
      <c r="D366" s="63"/>
      <c r="E366" s="63"/>
      <c r="F366" s="63"/>
      <c r="G366" s="61">
        <f>SUM(D366:F366)</f>
        <v>0</v>
      </c>
      <c r="H366" s="63"/>
      <c r="I366" s="63"/>
      <c r="J366" s="63"/>
      <c r="K366" s="61">
        <f>SUM(H366:J366)</f>
        <v>0</v>
      </c>
      <c r="L366" s="63"/>
      <c r="M366" s="63"/>
      <c r="N366" s="63"/>
      <c r="O366" s="61">
        <f>SUM(L366:N366)</f>
        <v>0</v>
      </c>
      <c r="P366" s="63"/>
      <c r="Q366" s="63"/>
      <c r="R366" s="63"/>
      <c r="S366" s="61">
        <f>SUM(P366:R366)</f>
        <v>0</v>
      </c>
      <c r="T366" s="63"/>
      <c r="U366" s="63"/>
      <c r="V366" s="63"/>
      <c r="W366" s="61">
        <f>SUM(T366:V366)</f>
        <v>0</v>
      </c>
      <c r="X366" s="63"/>
      <c r="Y366" s="63"/>
      <c r="Z366" s="63"/>
      <c r="AA366" s="61">
        <f>SUM(X366:Z366)</f>
        <v>0</v>
      </c>
      <c r="AB366" s="63"/>
      <c r="AC366" s="63"/>
      <c r="AD366" s="63"/>
      <c r="AE366" s="61">
        <f>SUM(AB366:AD366)</f>
        <v>0</v>
      </c>
      <c r="AF366" s="68">
        <f t="shared" si="86"/>
        <v>0</v>
      </c>
    </row>
    <row r="367" spans="1:32" hidden="1" x14ac:dyDescent="0.35">
      <c r="A367" s="111"/>
      <c r="B367" s="54"/>
      <c r="C367" s="60" t="s">
        <v>228</v>
      </c>
      <c r="D367" s="60"/>
      <c r="E367" s="60"/>
      <c r="F367" s="60"/>
      <c r="G367" s="61">
        <f>SUM(D367:F367)</f>
        <v>0</v>
      </c>
      <c r="H367" s="60"/>
      <c r="I367" s="60"/>
      <c r="J367" s="60"/>
      <c r="K367" s="61">
        <f>SUM(H367:J367)</f>
        <v>0</v>
      </c>
      <c r="L367" s="60"/>
      <c r="M367" s="60"/>
      <c r="N367" s="60"/>
      <c r="O367" s="61">
        <f>SUM(L367:N367)</f>
        <v>0</v>
      </c>
      <c r="P367" s="60"/>
      <c r="Q367" s="60"/>
      <c r="R367" s="60"/>
      <c r="S367" s="61">
        <f>SUM(P367:R367)</f>
        <v>0</v>
      </c>
      <c r="T367" s="60"/>
      <c r="U367" s="60"/>
      <c r="V367" s="60"/>
      <c r="W367" s="61">
        <f>SUM(T367:V367)</f>
        <v>0</v>
      </c>
      <c r="X367" s="60"/>
      <c r="Y367" s="60"/>
      <c r="Z367" s="60"/>
      <c r="AA367" s="61">
        <f>SUM(X367:Z367)</f>
        <v>0</v>
      </c>
      <c r="AB367" s="60"/>
      <c r="AC367" s="60"/>
      <c r="AD367" s="60"/>
      <c r="AE367" s="61">
        <f>SUM(AB367:AD367)</f>
        <v>0</v>
      </c>
      <c r="AF367" s="68">
        <f t="shared" si="86"/>
        <v>0</v>
      </c>
    </row>
    <row r="368" spans="1:32" hidden="1" x14ac:dyDescent="0.35">
      <c r="A368" s="111"/>
      <c r="B368" s="54"/>
      <c r="C368" s="63" t="s">
        <v>235</v>
      </c>
      <c r="D368" s="63"/>
      <c r="E368" s="63"/>
      <c r="F368" s="63"/>
      <c r="G368" s="61">
        <f>SUM(D368:F368)</f>
        <v>0</v>
      </c>
      <c r="H368" s="63"/>
      <c r="I368" s="63"/>
      <c r="J368" s="63"/>
      <c r="K368" s="61">
        <f>SUM(H368:J368)</f>
        <v>0</v>
      </c>
      <c r="L368" s="63"/>
      <c r="M368" s="63"/>
      <c r="N368" s="63"/>
      <c r="O368" s="61">
        <f>SUM(L368:N368)</f>
        <v>0</v>
      </c>
      <c r="P368" s="63"/>
      <c r="Q368" s="63"/>
      <c r="R368" s="63"/>
      <c r="S368" s="61">
        <f>SUM(P368:R368)</f>
        <v>0</v>
      </c>
      <c r="T368" s="63"/>
      <c r="U368" s="63"/>
      <c r="V368" s="63"/>
      <c r="W368" s="61">
        <f>SUM(T368:V368)</f>
        <v>0</v>
      </c>
      <c r="X368" s="63"/>
      <c r="Y368" s="63"/>
      <c r="Z368" s="63"/>
      <c r="AA368" s="61">
        <f>SUM(X368:Z368)</f>
        <v>0</v>
      </c>
      <c r="AB368" s="63"/>
      <c r="AC368" s="63"/>
      <c r="AD368" s="63"/>
      <c r="AE368" s="61">
        <f>SUM(AB368:AD368)</f>
        <v>0</v>
      </c>
      <c r="AF368" s="68">
        <f t="shared" si="86"/>
        <v>0</v>
      </c>
    </row>
    <row r="369" spans="1:32" x14ac:dyDescent="0.35">
      <c r="A369" s="66" t="s">
        <v>407</v>
      </c>
      <c r="B369" s="67" t="s">
        <v>358</v>
      </c>
      <c r="C369" s="66"/>
      <c r="D369" s="66">
        <f t="shared" ref="D369:AE369" si="88">SUM(D365:D368)</f>
        <v>0</v>
      </c>
      <c r="E369" s="66">
        <f t="shared" si="88"/>
        <v>0</v>
      </c>
      <c r="F369" s="66">
        <f t="shared" si="88"/>
        <v>0</v>
      </c>
      <c r="G369" s="61">
        <f t="shared" si="88"/>
        <v>0</v>
      </c>
      <c r="H369" s="66">
        <f t="shared" si="88"/>
        <v>0</v>
      </c>
      <c r="I369" s="66">
        <f t="shared" si="88"/>
        <v>0</v>
      </c>
      <c r="J369" s="66">
        <f t="shared" si="88"/>
        <v>0</v>
      </c>
      <c r="K369" s="61">
        <f t="shared" si="88"/>
        <v>0</v>
      </c>
      <c r="L369" s="66">
        <f t="shared" si="88"/>
        <v>0</v>
      </c>
      <c r="M369" s="66">
        <f t="shared" si="88"/>
        <v>0</v>
      </c>
      <c r="N369" s="66">
        <f t="shared" si="88"/>
        <v>0</v>
      </c>
      <c r="O369" s="61">
        <f t="shared" si="88"/>
        <v>0</v>
      </c>
      <c r="P369" s="66">
        <f t="shared" si="88"/>
        <v>0</v>
      </c>
      <c r="Q369" s="66">
        <f t="shared" si="88"/>
        <v>0</v>
      </c>
      <c r="R369" s="66">
        <f t="shared" si="88"/>
        <v>0</v>
      </c>
      <c r="S369" s="61">
        <f t="shared" si="88"/>
        <v>0</v>
      </c>
      <c r="T369" s="66">
        <f t="shared" si="88"/>
        <v>0</v>
      </c>
      <c r="U369" s="66">
        <f t="shared" si="88"/>
        <v>0</v>
      </c>
      <c r="V369" s="66">
        <f t="shared" si="88"/>
        <v>0</v>
      </c>
      <c r="W369" s="61">
        <f t="shared" si="88"/>
        <v>0</v>
      </c>
      <c r="X369" s="66">
        <f t="shared" si="88"/>
        <v>0</v>
      </c>
      <c r="Y369" s="66">
        <f t="shared" si="88"/>
        <v>0</v>
      </c>
      <c r="Z369" s="66">
        <f t="shared" si="88"/>
        <v>0</v>
      </c>
      <c r="AA369" s="61">
        <f t="shared" si="88"/>
        <v>0</v>
      </c>
      <c r="AB369" s="66">
        <f t="shared" si="88"/>
        <v>0</v>
      </c>
      <c r="AC369" s="66">
        <f t="shared" si="88"/>
        <v>0</v>
      </c>
      <c r="AD369" s="66">
        <f t="shared" si="88"/>
        <v>0</v>
      </c>
      <c r="AE369" s="61">
        <f t="shared" si="88"/>
        <v>0</v>
      </c>
      <c r="AF369" s="68">
        <f t="shared" si="86"/>
        <v>0</v>
      </c>
    </row>
    <row r="370" spans="1:32" hidden="1" x14ac:dyDescent="0.35">
      <c r="A370" s="59" t="s">
        <v>359</v>
      </c>
      <c r="B370" s="54" t="s">
        <v>360</v>
      </c>
      <c r="C370" s="60" t="s">
        <v>225</v>
      </c>
      <c r="D370" s="60"/>
      <c r="E370" s="60"/>
      <c r="F370" s="60"/>
      <c r="G370" s="61">
        <f>SUM(D370:F370)</f>
        <v>0</v>
      </c>
      <c r="H370" s="60"/>
      <c r="I370" s="60"/>
      <c r="J370" s="60"/>
      <c r="K370" s="61">
        <f>SUM(H370:J370)</f>
        <v>0</v>
      </c>
      <c r="L370" s="60"/>
      <c r="M370" s="60"/>
      <c r="N370" s="60"/>
      <c r="O370" s="61">
        <f>SUM(L370:N370)</f>
        <v>0</v>
      </c>
      <c r="P370" s="60"/>
      <c r="Q370" s="60"/>
      <c r="R370" s="60"/>
      <c r="S370" s="61">
        <f>SUM(P370:R370)</f>
        <v>0</v>
      </c>
      <c r="T370" s="60"/>
      <c r="U370" s="60"/>
      <c r="V370" s="60"/>
      <c r="W370" s="61">
        <f>SUM(T370:V370)</f>
        <v>0</v>
      </c>
      <c r="X370" s="60"/>
      <c r="Y370" s="60"/>
      <c r="Z370" s="60"/>
      <c r="AA370" s="61">
        <f>SUM(X370:Z370)</f>
        <v>0</v>
      </c>
      <c r="AB370" s="60"/>
      <c r="AC370" s="60"/>
      <c r="AD370" s="60"/>
      <c r="AE370" s="61">
        <f>SUM(AB370:AD370)</f>
        <v>0</v>
      </c>
      <c r="AF370" s="68">
        <f t="shared" si="86"/>
        <v>0</v>
      </c>
    </row>
    <row r="371" spans="1:32" hidden="1" x14ac:dyDescent="0.35">
      <c r="A371" s="111" t="s">
        <v>245</v>
      </c>
      <c r="B371" s="54"/>
      <c r="C371" s="63" t="s">
        <v>227</v>
      </c>
      <c r="D371" s="63"/>
      <c r="E371" s="63"/>
      <c r="F371" s="63"/>
      <c r="G371" s="61">
        <f>SUM(D371:F371)</f>
        <v>0</v>
      </c>
      <c r="H371" s="63"/>
      <c r="I371" s="63"/>
      <c r="J371" s="63"/>
      <c r="K371" s="61">
        <f>SUM(H371:J371)</f>
        <v>0</v>
      </c>
      <c r="L371" s="63"/>
      <c r="M371" s="63"/>
      <c r="N371" s="63"/>
      <c r="O371" s="61">
        <f>SUM(L371:N371)</f>
        <v>0</v>
      </c>
      <c r="P371" s="63"/>
      <c r="Q371" s="63"/>
      <c r="R371" s="63"/>
      <c r="S371" s="61">
        <f>SUM(P371:R371)</f>
        <v>0</v>
      </c>
      <c r="T371" s="63"/>
      <c r="U371" s="63"/>
      <c r="V371" s="63"/>
      <c r="W371" s="61">
        <f>SUM(T371:V371)</f>
        <v>0</v>
      </c>
      <c r="X371" s="63"/>
      <c r="Y371" s="63"/>
      <c r="Z371" s="63"/>
      <c r="AA371" s="61">
        <f>SUM(X371:Z371)</f>
        <v>0</v>
      </c>
      <c r="AB371" s="63"/>
      <c r="AC371" s="63"/>
      <c r="AD371" s="63"/>
      <c r="AE371" s="61">
        <f>SUM(AB371:AD371)</f>
        <v>0</v>
      </c>
      <c r="AF371" s="68">
        <f t="shared" si="86"/>
        <v>0</v>
      </c>
    </row>
    <row r="372" spans="1:32" hidden="1" x14ac:dyDescent="0.35">
      <c r="A372" s="111"/>
      <c r="B372" s="54"/>
      <c r="C372" s="60" t="s">
        <v>228</v>
      </c>
      <c r="D372" s="60"/>
      <c r="E372" s="60"/>
      <c r="F372" s="60"/>
      <c r="G372" s="61">
        <f>SUM(D372:F372)</f>
        <v>0</v>
      </c>
      <c r="H372" s="60"/>
      <c r="I372" s="60"/>
      <c r="J372" s="60"/>
      <c r="K372" s="61">
        <f>SUM(H372:J372)</f>
        <v>0</v>
      </c>
      <c r="L372" s="60"/>
      <c r="M372" s="60"/>
      <c r="N372" s="60"/>
      <c r="O372" s="61">
        <f>SUM(L372:N372)</f>
        <v>0</v>
      </c>
      <c r="P372" s="60"/>
      <c r="Q372" s="60"/>
      <c r="R372" s="60"/>
      <c r="S372" s="61">
        <f>SUM(P372:R372)</f>
        <v>0</v>
      </c>
      <c r="T372" s="60"/>
      <c r="U372" s="60"/>
      <c r="V372" s="60"/>
      <c r="W372" s="61">
        <f>SUM(T372:V372)</f>
        <v>0</v>
      </c>
      <c r="X372" s="60"/>
      <c r="Y372" s="60"/>
      <c r="Z372" s="60"/>
      <c r="AA372" s="61">
        <f>SUM(X372:Z372)</f>
        <v>0</v>
      </c>
      <c r="AB372" s="60"/>
      <c r="AC372" s="60"/>
      <c r="AD372" s="60"/>
      <c r="AE372" s="61">
        <f>SUM(AB372:AD372)</f>
        <v>0</v>
      </c>
      <c r="AF372" s="68">
        <f t="shared" si="86"/>
        <v>0</v>
      </c>
    </row>
    <row r="373" spans="1:32" hidden="1" x14ac:dyDescent="0.35">
      <c r="A373" s="111"/>
      <c r="B373" s="54"/>
      <c r="C373" s="63" t="s">
        <v>235</v>
      </c>
      <c r="D373" s="63"/>
      <c r="E373" s="63"/>
      <c r="F373" s="63"/>
      <c r="G373" s="61">
        <f>SUM(D373:F373)</f>
        <v>0</v>
      </c>
      <c r="H373" s="63"/>
      <c r="I373" s="63"/>
      <c r="J373" s="63"/>
      <c r="K373" s="61">
        <f>SUM(H373:J373)</f>
        <v>0</v>
      </c>
      <c r="L373" s="63"/>
      <c r="M373" s="63"/>
      <c r="N373" s="63"/>
      <c r="O373" s="61">
        <f>SUM(L373:N373)</f>
        <v>0</v>
      </c>
      <c r="P373" s="63"/>
      <c r="Q373" s="63"/>
      <c r="R373" s="63"/>
      <c r="S373" s="61">
        <f>SUM(P373:R373)</f>
        <v>0</v>
      </c>
      <c r="T373" s="63"/>
      <c r="U373" s="63"/>
      <c r="V373" s="63"/>
      <c r="W373" s="61">
        <f>SUM(T373:V373)</f>
        <v>0</v>
      </c>
      <c r="X373" s="63"/>
      <c r="Y373" s="63"/>
      <c r="Z373" s="63"/>
      <c r="AA373" s="61">
        <f>SUM(X373:Z373)</f>
        <v>0</v>
      </c>
      <c r="AB373" s="63"/>
      <c r="AC373" s="63"/>
      <c r="AD373" s="63"/>
      <c r="AE373" s="61">
        <f>SUM(AB373:AD373)</f>
        <v>0</v>
      </c>
      <c r="AF373" s="68">
        <f t="shared" si="86"/>
        <v>0</v>
      </c>
    </row>
    <row r="374" spans="1:32" x14ac:dyDescent="0.35">
      <c r="A374" s="66" t="s">
        <v>359</v>
      </c>
      <c r="B374" s="67" t="s">
        <v>360</v>
      </c>
      <c r="C374" s="66"/>
      <c r="D374" s="66">
        <f t="shared" ref="D374:AE374" si="89">SUM(D370:D373)</f>
        <v>0</v>
      </c>
      <c r="E374" s="66">
        <f t="shared" si="89"/>
        <v>0</v>
      </c>
      <c r="F374" s="66">
        <f t="shared" si="89"/>
        <v>0</v>
      </c>
      <c r="G374" s="61">
        <f t="shared" si="89"/>
        <v>0</v>
      </c>
      <c r="H374" s="66">
        <f t="shared" si="89"/>
        <v>0</v>
      </c>
      <c r="I374" s="66">
        <f t="shared" si="89"/>
        <v>0</v>
      </c>
      <c r="J374" s="66">
        <f t="shared" si="89"/>
        <v>0</v>
      </c>
      <c r="K374" s="61">
        <f t="shared" si="89"/>
        <v>0</v>
      </c>
      <c r="L374" s="66">
        <f t="shared" si="89"/>
        <v>0</v>
      </c>
      <c r="M374" s="66">
        <f t="shared" si="89"/>
        <v>0</v>
      </c>
      <c r="N374" s="66">
        <f t="shared" si="89"/>
        <v>0</v>
      </c>
      <c r="O374" s="61">
        <f t="shared" si="89"/>
        <v>0</v>
      </c>
      <c r="P374" s="66">
        <f t="shared" si="89"/>
        <v>0</v>
      </c>
      <c r="Q374" s="66">
        <f t="shared" si="89"/>
        <v>0</v>
      </c>
      <c r="R374" s="66">
        <f t="shared" si="89"/>
        <v>0</v>
      </c>
      <c r="S374" s="61">
        <f t="shared" si="89"/>
        <v>0</v>
      </c>
      <c r="T374" s="66">
        <f t="shared" si="89"/>
        <v>0</v>
      </c>
      <c r="U374" s="66">
        <f t="shared" si="89"/>
        <v>0</v>
      </c>
      <c r="V374" s="66">
        <f t="shared" si="89"/>
        <v>0</v>
      </c>
      <c r="W374" s="61">
        <f t="shared" si="89"/>
        <v>0</v>
      </c>
      <c r="X374" s="66">
        <f t="shared" si="89"/>
        <v>0</v>
      </c>
      <c r="Y374" s="66">
        <f t="shared" si="89"/>
        <v>0</v>
      </c>
      <c r="Z374" s="66">
        <f t="shared" si="89"/>
        <v>0</v>
      </c>
      <c r="AA374" s="61">
        <f t="shared" si="89"/>
        <v>0</v>
      </c>
      <c r="AB374" s="66">
        <f t="shared" si="89"/>
        <v>0</v>
      </c>
      <c r="AC374" s="66">
        <f t="shared" si="89"/>
        <v>0</v>
      </c>
      <c r="AD374" s="66">
        <f t="shared" si="89"/>
        <v>0</v>
      </c>
      <c r="AE374" s="61">
        <f t="shared" si="89"/>
        <v>0</v>
      </c>
      <c r="AF374" s="68">
        <f t="shared" si="86"/>
        <v>0</v>
      </c>
    </row>
    <row r="375" spans="1:32" hidden="1" x14ac:dyDescent="0.35">
      <c r="A375" s="59" t="s">
        <v>361</v>
      </c>
      <c r="B375" s="54">
        <v>30</v>
      </c>
      <c r="C375" s="60" t="s">
        <v>225</v>
      </c>
      <c r="D375" s="60"/>
      <c r="E375" s="60"/>
      <c r="F375" s="60"/>
      <c r="G375" s="61">
        <f>SUM(D375:F375)</f>
        <v>0</v>
      </c>
      <c r="H375" s="60"/>
      <c r="I375" s="60"/>
      <c r="J375" s="60"/>
      <c r="K375" s="61">
        <f>SUM(H375:J375)</f>
        <v>0</v>
      </c>
      <c r="L375" s="60"/>
      <c r="M375" s="60"/>
      <c r="N375" s="60"/>
      <c r="O375" s="61">
        <f>SUM(L375:N375)</f>
        <v>0</v>
      </c>
      <c r="P375" s="60"/>
      <c r="Q375" s="60"/>
      <c r="R375" s="60"/>
      <c r="S375" s="61">
        <f>SUM(P375:R375)</f>
        <v>0</v>
      </c>
      <c r="T375" s="60"/>
      <c r="U375" s="60"/>
      <c r="V375" s="60"/>
      <c r="W375" s="61">
        <f>SUM(T375:V375)</f>
        <v>0</v>
      </c>
      <c r="X375" s="60"/>
      <c r="Y375" s="60"/>
      <c r="Z375" s="60"/>
      <c r="AA375" s="61">
        <f>SUM(X375:Z375)</f>
        <v>0</v>
      </c>
      <c r="AB375" s="60"/>
      <c r="AC375" s="60"/>
      <c r="AD375" s="60"/>
      <c r="AE375" s="61">
        <f>SUM(AB375:AD375)</f>
        <v>0</v>
      </c>
      <c r="AF375" s="68">
        <f t="shared" si="86"/>
        <v>0</v>
      </c>
    </row>
    <row r="376" spans="1:32" hidden="1" x14ac:dyDescent="0.35">
      <c r="A376" s="111" t="s">
        <v>263</v>
      </c>
      <c r="B376" s="54"/>
      <c r="C376" s="63" t="s">
        <v>227</v>
      </c>
      <c r="D376" s="63"/>
      <c r="E376" s="63"/>
      <c r="F376" s="63"/>
      <c r="G376" s="61">
        <f>SUM(D376:F376)</f>
        <v>0</v>
      </c>
      <c r="H376" s="63"/>
      <c r="I376" s="63"/>
      <c r="J376" s="63"/>
      <c r="K376" s="61">
        <f>SUM(H376:J376)</f>
        <v>0</v>
      </c>
      <c r="L376" s="63"/>
      <c r="M376" s="63"/>
      <c r="N376" s="63"/>
      <c r="O376" s="61">
        <f>SUM(L376:N376)</f>
        <v>0</v>
      </c>
      <c r="P376" s="63"/>
      <c r="Q376" s="63"/>
      <c r="R376" s="63"/>
      <c r="S376" s="61">
        <f>SUM(P376:R376)</f>
        <v>0</v>
      </c>
      <c r="T376" s="63"/>
      <c r="U376" s="63"/>
      <c r="V376" s="63"/>
      <c r="W376" s="61">
        <f>SUM(T376:V376)</f>
        <v>0</v>
      </c>
      <c r="X376" s="63"/>
      <c r="Y376" s="63"/>
      <c r="Z376" s="63"/>
      <c r="AA376" s="61">
        <f>SUM(X376:Z376)</f>
        <v>0</v>
      </c>
      <c r="AB376" s="63"/>
      <c r="AC376" s="63"/>
      <c r="AD376" s="63"/>
      <c r="AE376" s="61">
        <f>SUM(AB376:AD376)</f>
        <v>0</v>
      </c>
      <c r="AF376" s="68">
        <f t="shared" si="86"/>
        <v>0</v>
      </c>
    </row>
    <row r="377" spans="1:32" hidden="1" x14ac:dyDescent="0.35">
      <c r="A377" s="111"/>
      <c r="B377" s="54"/>
      <c r="C377" s="60" t="s">
        <v>228</v>
      </c>
      <c r="D377" s="60"/>
      <c r="E377" s="60"/>
      <c r="F377" s="60"/>
      <c r="G377" s="61">
        <f>SUM(D377:F377)</f>
        <v>0</v>
      </c>
      <c r="H377" s="60"/>
      <c r="I377" s="60"/>
      <c r="J377" s="60"/>
      <c r="K377" s="61">
        <f>SUM(H377:J377)</f>
        <v>0</v>
      </c>
      <c r="L377" s="60"/>
      <c r="M377" s="60"/>
      <c r="N377" s="60"/>
      <c r="O377" s="61">
        <f>SUM(L377:N377)</f>
        <v>0</v>
      </c>
      <c r="P377" s="60"/>
      <c r="Q377" s="60"/>
      <c r="R377" s="60"/>
      <c r="S377" s="61">
        <f>SUM(P377:R377)</f>
        <v>0</v>
      </c>
      <c r="T377" s="60"/>
      <c r="U377" s="60"/>
      <c r="V377" s="60"/>
      <c r="W377" s="61">
        <f>SUM(T377:V377)</f>
        <v>0</v>
      </c>
      <c r="X377" s="60"/>
      <c r="Y377" s="60"/>
      <c r="Z377" s="60"/>
      <c r="AA377" s="61">
        <f>SUM(X377:Z377)</f>
        <v>0</v>
      </c>
      <c r="AB377" s="60"/>
      <c r="AC377" s="60"/>
      <c r="AD377" s="60"/>
      <c r="AE377" s="61">
        <f>SUM(AB377:AD377)</f>
        <v>0</v>
      </c>
      <c r="AF377" s="68">
        <f t="shared" si="86"/>
        <v>0</v>
      </c>
    </row>
    <row r="378" spans="1:32" hidden="1" x14ac:dyDescent="0.35">
      <c r="A378" s="111"/>
      <c r="B378" s="54"/>
      <c r="C378" s="63" t="s">
        <v>235</v>
      </c>
      <c r="D378" s="63"/>
      <c r="E378" s="63"/>
      <c r="F378" s="63"/>
      <c r="G378" s="61">
        <f>SUM(D378:F378)</f>
        <v>0</v>
      </c>
      <c r="H378" s="63"/>
      <c r="I378" s="63"/>
      <c r="J378" s="63"/>
      <c r="K378" s="61">
        <f>SUM(H378:J378)</f>
        <v>0</v>
      </c>
      <c r="L378" s="63"/>
      <c r="M378" s="63"/>
      <c r="N378" s="63"/>
      <c r="O378" s="61">
        <f>SUM(L378:N378)</f>
        <v>0</v>
      </c>
      <c r="P378" s="63"/>
      <c r="Q378" s="63"/>
      <c r="R378" s="63"/>
      <c r="S378" s="61">
        <f>SUM(P378:R378)</f>
        <v>0</v>
      </c>
      <c r="T378" s="63"/>
      <c r="U378" s="63"/>
      <c r="V378" s="63"/>
      <c r="W378" s="61">
        <f>SUM(T378:V378)</f>
        <v>0</v>
      </c>
      <c r="X378" s="63"/>
      <c r="Y378" s="63"/>
      <c r="Z378" s="63"/>
      <c r="AA378" s="61">
        <f>SUM(X378:Z378)</f>
        <v>0</v>
      </c>
      <c r="AB378" s="63"/>
      <c r="AC378" s="63"/>
      <c r="AD378" s="63"/>
      <c r="AE378" s="61">
        <f>SUM(AB378:AD378)</f>
        <v>0</v>
      </c>
      <c r="AF378" s="68">
        <f t="shared" si="86"/>
        <v>0</v>
      </c>
    </row>
    <row r="379" spans="1:32" x14ac:dyDescent="0.35">
      <c r="A379" s="66" t="s">
        <v>361</v>
      </c>
      <c r="B379" s="67">
        <v>30</v>
      </c>
      <c r="C379" s="66"/>
      <c r="D379" s="66">
        <f t="shared" ref="D379:AE379" si="90">SUM(D375:D378)</f>
        <v>0</v>
      </c>
      <c r="E379" s="66">
        <f t="shared" si="90"/>
        <v>0</v>
      </c>
      <c r="F379" s="66">
        <f t="shared" si="90"/>
        <v>0</v>
      </c>
      <c r="G379" s="61">
        <f t="shared" si="90"/>
        <v>0</v>
      </c>
      <c r="H379" s="66">
        <f t="shared" si="90"/>
        <v>0</v>
      </c>
      <c r="I379" s="66">
        <f t="shared" si="90"/>
        <v>0</v>
      </c>
      <c r="J379" s="66">
        <f t="shared" si="90"/>
        <v>0</v>
      </c>
      <c r="K379" s="61">
        <f t="shared" si="90"/>
        <v>0</v>
      </c>
      <c r="L379" s="66">
        <f t="shared" si="90"/>
        <v>0</v>
      </c>
      <c r="M379" s="66">
        <f t="shared" si="90"/>
        <v>0</v>
      </c>
      <c r="N379" s="66">
        <f t="shared" si="90"/>
        <v>0</v>
      </c>
      <c r="O379" s="61">
        <f t="shared" si="90"/>
        <v>0</v>
      </c>
      <c r="P379" s="66">
        <f t="shared" si="90"/>
        <v>0</v>
      </c>
      <c r="Q379" s="66">
        <f t="shared" si="90"/>
        <v>0</v>
      </c>
      <c r="R379" s="66">
        <f t="shared" si="90"/>
        <v>0</v>
      </c>
      <c r="S379" s="61">
        <f t="shared" si="90"/>
        <v>0</v>
      </c>
      <c r="T379" s="66">
        <f t="shared" si="90"/>
        <v>0</v>
      </c>
      <c r="U379" s="66">
        <f t="shared" si="90"/>
        <v>0</v>
      </c>
      <c r="V379" s="66">
        <f t="shared" si="90"/>
        <v>0</v>
      </c>
      <c r="W379" s="61">
        <f t="shared" si="90"/>
        <v>0</v>
      </c>
      <c r="X379" s="66">
        <f t="shared" si="90"/>
        <v>0</v>
      </c>
      <c r="Y379" s="66">
        <f t="shared" si="90"/>
        <v>0</v>
      </c>
      <c r="Z379" s="66">
        <f t="shared" si="90"/>
        <v>0</v>
      </c>
      <c r="AA379" s="61">
        <f t="shared" si="90"/>
        <v>0</v>
      </c>
      <c r="AB379" s="66">
        <f t="shared" si="90"/>
        <v>0</v>
      </c>
      <c r="AC379" s="66">
        <f t="shared" si="90"/>
        <v>0</v>
      </c>
      <c r="AD379" s="66">
        <f t="shared" si="90"/>
        <v>0</v>
      </c>
      <c r="AE379" s="61">
        <f t="shared" si="90"/>
        <v>0</v>
      </c>
      <c r="AF379" s="68">
        <f t="shared" si="86"/>
        <v>0</v>
      </c>
    </row>
    <row r="380" spans="1:32" hidden="1" x14ac:dyDescent="0.35">
      <c r="A380" s="59" t="s">
        <v>362</v>
      </c>
      <c r="B380" s="54" t="s">
        <v>303</v>
      </c>
      <c r="C380" s="60" t="s">
        <v>225</v>
      </c>
      <c r="D380" s="60"/>
      <c r="E380" s="60"/>
      <c r="F380" s="60"/>
      <c r="G380" s="61">
        <f>SUM(D380:F380)</f>
        <v>0</v>
      </c>
      <c r="H380" s="60"/>
      <c r="I380" s="60"/>
      <c r="J380" s="60"/>
      <c r="K380" s="61">
        <f>SUM(H380:J380)</f>
        <v>0</v>
      </c>
      <c r="L380" s="60"/>
      <c r="M380" s="60"/>
      <c r="N380" s="60"/>
      <c r="O380" s="61">
        <f>SUM(L380:N380)</f>
        <v>0</v>
      </c>
      <c r="P380" s="60"/>
      <c r="Q380" s="60"/>
      <c r="R380" s="60"/>
      <c r="S380" s="61">
        <f>SUM(P380:R380)</f>
        <v>0</v>
      </c>
      <c r="T380" s="60"/>
      <c r="U380" s="60"/>
      <c r="V380" s="60"/>
      <c r="W380" s="61">
        <f>SUM(T380:V380)</f>
        <v>0</v>
      </c>
      <c r="X380" s="60"/>
      <c r="Y380" s="60"/>
      <c r="Z380" s="60"/>
      <c r="AA380" s="61">
        <f>SUM(X380:Z380)</f>
        <v>0</v>
      </c>
      <c r="AB380" s="60"/>
      <c r="AC380" s="60"/>
      <c r="AD380" s="60"/>
      <c r="AE380" s="61">
        <f>SUM(AB380:AD380)</f>
        <v>0</v>
      </c>
      <c r="AF380" s="68">
        <f t="shared" si="86"/>
        <v>0</v>
      </c>
    </row>
    <row r="381" spans="1:32" hidden="1" x14ac:dyDescent="0.35">
      <c r="A381" s="111" t="s">
        <v>363</v>
      </c>
      <c r="B381" s="54"/>
      <c r="C381" s="63" t="s">
        <v>227</v>
      </c>
      <c r="D381" s="63"/>
      <c r="E381" s="63"/>
      <c r="F381" s="63"/>
      <c r="G381" s="61">
        <f>SUM(D381:F381)</f>
        <v>0</v>
      </c>
      <c r="H381" s="63"/>
      <c r="I381" s="63"/>
      <c r="J381" s="63"/>
      <c r="K381" s="61">
        <f>SUM(H381:J381)</f>
        <v>0</v>
      </c>
      <c r="L381" s="63"/>
      <c r="M381" s="63"/>
      <c r="N381" s="63"/>
      <c r="O381" s="61">
        <f>SUM(L381:N381)</f>
        <v>0</v>
      </c>
      <c r="P381" s="63"/>
      <c r="Q381" s="63"/>
      <c r="R381" s="63"/>
      <c r="S381" s="61">
        <f>SUM(P381:R381)</f>
        <v>0</v>
      </c>
      <c r="T381" s="63"/>
      <c r="U381" s="63"/>
      <c r="V381" s="63"/>
      <c r="W381" s="61">
        <f>SUM(T381:V381)</f>
        <v>0</v>
      </c>
      <c r="X381" s="63"/>
      <c r="Y381" s="63"/>
      <c r="Z381" s="63"/>
      <c r="AA381" s="61">
        <f>SUM(X381:Z381)</f>
        <v>0</v>
      </c>
      <c r="AB381" s="63"/>
      <c r="AC381" s="63"/>
      <c r="AD381" s="63"/>
      <c r="AE381" s="61">
        <f>SUM(AB381:AD381)</f>
        <v>0</v>
      </c>
      <c r="AF381" s="68">
        <f t="shared" si="86"/>
        <v>0</v>
      </c>
    </row>
    <row r="382" spans="1:32" hidden="1" x14ac:dyDescent="0.35">
      <c r="A382" s="111"/>
      <c r="B382" s="54"/>
      <c r="C382" s="60" t="s">
        <v>228</v>
      </c>
      <c r="D382" s="60"/>
      <c r="E382" s="60"/>
      <c r="F382" s="60"/>
      <c r="G382" s="61">
        <f>SUM(D382:F382)</f>
        <v>0</v>
      </c>
      <c r="H382" s="60"/>
      <c r="I382" s="60"/>
      <c r="J382" s="60"/>
      <c r="K382" s="61">
        <f>SUM(H382:J382)</f>
        <v>0</v>
      </c>
      <c r="L382" s="60"/>
      <c r="M382" s="60"/>
      <c r="N382" s="60"/>
      <c r="O382" s="61">
        <f>SUM(L382:N382)</f>
        <v>0</v>
      </c>
      <c r="P382" s="60"/>
      <c r="Q382" s="60"/>
      <c r="R382" s="60"/>
      <c r="S382" s="61">
        <f>SUM(P382:R382)</f>
        <v>0</v>
      </c>
      <c r="T382" s="60"/>
      <c r="U382" s="60"/>
      <c r="V382" s="60"/>
      <c r="W382" s="61">
        <f>SUM(T382:V382)</f>
        <v>0</v>
      </c>
      <c r="X382" s="60"/>
      <c r="Y382" s="60"/>
      <c r="Z382" s="60"/>
      <c r="AA382" s="61">
        <f>SUM(X382:Z382)</f>
        <v>0</v>
      </c>
      <c r="AB382" s="60"/>
      <c r="AC382" s="60"/>
      <c r="AD382" s="60"/>
      <c r="AE382" s="61">
        <f>SUM(AB382:AD382)</f>
        <v>0</v>
      </c>
      <c r="AF382" s="68">
        <f t="shared" si="86"/>
        <v>0</v>
      </c>
    </row>
    <row r="383" spans="1:32" hidden="1" x14ac:dyDescent="0.35">
      <c r="A383" s="111"/>
      <c r="B383" s="54"/>
      <c r="C383" s="63" t="s">
        <v>235</v>
      </c>
      <c r="D383" s="63"/>
      <c r="E383" s="63"/>
      <c r="F383" s="63"/>
      <c r="G383" s="61">
        <f>SUM(D383:F383)</f>
        <v>0</v>
      </c>
      <c r="H383" s="63"/>
      <c r="I383" s="63"/>
      <c r="J383" s="63"/>
      <c r="K383" s="61">
        <f>SUM(H383:J383)</f>
        <v>0</v>
      </c>
      <c r="L383" s="63"/>
      <c r="M383" s="63"/>
      <c r="N383" s="63"/>
      <c r="O383" s="61">
        <f>SUM(L383:N383)</f>
        <v>0</v>
      </c>
      <c r="P383" s="63"/>
      <c r="Q383" s="63"/>
      <c r="R383" s="63"/>
      <c r="S383" s="61">
        <f>SUM(P383:R383)</f>
        <v>0</v>
      </c>
      <c r="T383" s="63">
        <v>1</v>
      </c>
      <c r="U383" s="63"/>
      <c r="V383" s="63"/>
      <c r="W383" s="61">
        <f>SUM(T383:V383)</f>
        <v>1</v>
      </c>
      <c r="X383" s="63"/>
      <c r="Y383" s="63">
        <v>2</v>
      </c>
      <c r="Z383" s="63"/>
      <c r="AA383" s="61">
        <f>SUM(X383:Z383)</f>
        <v>2</v>
      </c>
      <c r="AB383" s="63"/>
      <c r="AC383" s="63"/>
      <c r="AD383" s="63"/>
      <c r="AE383" s="61">
        <f>SUM(AB383:AD383)</f>
        <v>0</v>
      </c>
      <c r="AF383" s="68">
        <f t="shared" si="86"/>
        <v>3</v>
      </c>
    </row>
    <row r="384" spans="1:32" x14ac:dyDescent="0.35">
      <c r="A384" s="66" t="s">
        <v>362</v>
      </c>
      <c r="B384" s="67" t="s">
        <v>303</v>
      </c>
      <c r="C384" s="66"/>
      <c r="D384" s="66">
        <f t="shared" ref="D384:AE384" si="91">SUM(D380:D383)</f>
        <v>0</v>
      </c>
      <c r="E384" s="66">
        <f t="shared" si="91"/>
        <v>0</v>
      </c>
      <c r="F384" s="66">
        <f t="shared" si="91"/>
        <v>0</v>
      </c>
      <c r="G384" s="61">
        <f t="shared" si="91"/>
        <v>0</v>
      </c>
      <c r="H384" s="66">
        <f t="shared" si="91"/>
        <v>0</v>
      </c>
      <c r="I384" s="66">
        <f t="shared" si="91"/>
        <v>0</v>
      </c>
      <c r="J384" s="66">
        <f t="shared" si="91"/>
        <v>0</v>
      </c>
      <c r="K384" s="61">
        <f t="shared" si="91"/>
        <v>0</v>
      </c>
      <c r="L384" s="66">
        <f t="shared" si="91"/>
        <v>0</v>
      </c>
      <c r="M384" s="66">
        <f t="shared" si="91"/>
        <v>0</v>
      </c>
      <c r="N384" s="66">
        <f t="shared" si="91"/>
        <v>0</v>
      </c>
      <c r="O384" s="61">
        <f t="shared" si="91"/>
        <v>0</v>
      </c>
      <c r="P384" s="66">
        <f t="shared" si="91"/>
        <v>0</v>
      </c>
      <c r="Q384" s="66">
        <f t="shared" si="91"/>
        <v>0</v>
      </c>
      <c r="R384" s="66">
        <f t="shared" si="91"/>
        <v>0</v>
      </c>
      <c r="S384" s="61">
        <f t="shared" si="91"/>
        <v>0</v>
      </c>
      <c r="T384" s="66">
        <f t="shared" si="91"/>
        <v>1</v>
      </c>
      <c r="U384" s="66">
        <f t="shared" si="91"/>
        <v>0</v>
      </c>
      <c r="V384" s="66">
        <f t="shared" si="91"/>
        <v>0</v>
      </c>
      <c r="W384" s="61">
        <f t="shared" si="91"/>
        <v>1</v>
      </c>
      <c r="X384" s="66">
        <f t="shared" si="91"/>
        <v>0</v>
      </c>
      <c r="Y384" s="66">
        <f t="shared" si="91"/>
        <v>2</v>
      </c>
      <c r="Z384" s="66">
        <f t="shared" si="91"/>
        <v>0</v>
      </c>
      <c r="AA384" s="61">
        <f t="shared" si="91"/>
        <v>2</v>
      </c>
      <c r="AB384" s="66">
        <f t="shared" si="91"/>
        <v>0</v>
      </c>
      <c r="AC384" s="66">
        <f t="shared" si="91"/>
        <v>0</v>
      </c>
      <c r="AD384" s="66">
        <f t="shared" si="91"/>
        <v>0</v>
      </c>
      <c r="AE384" s="61">
        <f t="shared" si="91"/>
        <v>0</v>
      </c>
      <c r="AF384" s="68">
        <f t="shared" si="86"/>
        <v>3</v>
      </c>
    </row>
    <row r="385" spans="1:32" hidden="1" x14ac:dyDescent="0.35">
      <c r="A385" s="59" t="s">
        <v>364</v>
      </c>
      <c r="B385" s="54" t="s">
        <v>365</v>
      </c>
      <c r="C385" s="60" t="s">
        <v>225</v>
      </c>
      <c r="D385" s="60"/>
      <c r="E385" s="60"/>
      <c r="F385" s="60"/>
      <c r="G385" s="61">
        <f>SUM(D385:F385)</f>
        <v>0</v>
      </c>
      <c r="H385" s="60"/>
      <c r="I385" s="60"/>
      <c r="J385" s="60"/>
      <c r="K385" s="61">
        <f>SUM(H385:J385)</f>
        <v>0</v>
      </c>
      <c r="L385" s="60"/>
      <c r="M385" s="60"/>
      <c r="N385" s="60"/>
      <c r="O385" s="61">
        <f>SUM(L385:N385)</f>
        <v>0</v>
      </c>
      <c r="P385" s="60"/>
      <c r="Q385" s="60"/>
      <c r="R385" s="60"/>
      <c r="S385" s="61">
        <f>SUM(P385:R385)</f>
        <v>0</v>
      </c>
      <c r="T385" s="60"/>
      <c r="U385" s="60"/>
      <c r="V385" s="60"/>
      <c r="W385" s="61">
        <f>SUM(T385:V385)</f>
        <v>0</v>
      </c>
      <c r="X385" s="60"/>
      <c r="Y385" s="60"/>
      <c r="Z385" s="60"/>
      <c r="AA385" s="61">
        <f>SUM(X385:Z385)</f>
        <v>0</v>
      </c>
      <c r="AB385" s="60"/>
      <c r="AC385" s="60"/>
      <c r="AD385" s="60"/>
      <c r="AE385" s="61">
        <f>SUM(AB385:AD385)</f>
        <v>0</v>
      </c>
      <c r="AF385" s="68">
        <f t="shared" si="86"/>
        <v>0</v>
      </c>
    </row>
    <row r="386" spans="1:32" hidden="1" x14ac:dyDescent="0.35">
      <c r="A386" s="111" t="s">
        <v>267</v>
      </c>
      <c r="B386" s="54"/>
      <c r="C386" s="63" t="s">
        <v>227</v>
      </c>
      <c r="D386" s="63"/>
      <c r="E386" s="63"/>
      <c r="F386" s="63"/>
      <c r="G386" s="61">
        <f>SUM(D386:F386)</f>
        <v>0</v>
      </c>
      <c r="H386" s="63"/>
      <c r="I386" s="63"/>
      <c r="J386" s="63"/>
      <c r="K386" s="61">
        <f>SUM(H386:J386)</f>
        <v>0</v>
      </c>
      <c r="L386" s="63"/>
      <c r="M386" s="63"/>
      <c r="N386" s="63"/>
      <c r="O386" s="61">
        <f>SUM(L386:N386)</f>
        <v>0</v>
      </c>
      <c r="P386" s="63"/>
      <c r="Q386" s="63"/>
      <c r="R386" s="63"/>
      <c r="S386" s="61">
        <f>SUM(P386:R386)</f>
        <v>0</v>
      </c>
      <c r="T386" s="63">
        <v>2</v>
      </c>
      <c r="U386" s="63"/>
      <c r="V386" s="63"/>
      <c r="W386" s="61">
        <f>SUM(T386:V386)</f>
        <v>2</v>
      </c>
      <c r="X386" s="63"/>
      <c r="Y386" s="63"/>
      <c r="Z386" s="63"/>
      <c r="AA386" s="61">
        <f>SUM(X386:Z386)</f>
        <v>0</v>
      </c>
      <c r="AB386" s="63"/>
      <c r="AC386" s="63"/>
      <c r="AD386" s="63"/>
      <c r="AE386" s="61">
        <f>SUM(AB386:AD386)</f>
        <v>0</v>
      </c>
      <c r="AF386" s="68">
        <f t="shared" si="86"/>
        <v>2</v>
      </c>
    </row>
    <row r="387" spans="1:32" hidden="1" x14ac:dyDescent="0.35">
      <c r="A387" s="111"/>
      <c r="B387" s="54"/>
      <c r="C387" s="60" t="s">
        <v>228</v>
      </c>
      <c r="D387" s="60"/>
      <c r="E387" s="60"/>
      <c r="F387" s="60"/>
      <c r="G387" s="61">
        <f>SUM(D387:F387)</f>
        <v>0</v>
      </c>
      <c r="H387" s="60"/>
      <c r="I387" s="60"/>
      <c r="J387" s="60"/>
      <c r="K387" s="61">
        <f>SUM(H387:J387)</f>
        <v>0</v>
      </c>
      <c r="L387" s="60"/>
      <c r="M387" s="60"/>
      <c r="N387" s="60"/>
      <c r="O387" s="61">
        <f>SUM(L387:N387)</f>
        <v>0</v>
      </c>
      <c r="P387" s="60"/>
      <c r="Q387" s="60"/>
      <c r="R387" s="60"/>
      <c r="S387" s="61">
        <f>SUM(P387:R387)</f>
        <v>0</v>
      </c>
      <c r="T387" s="60"/>
      <c r="U387" s="60"/>
      <c r="V387" s="60"/>
      <c r="W387" s="61">
        <f>SUM(T387:V387)</f>
        <v>0</v>
      </c>
      <c r="X387" s="60"/>
      <c r="Y387" s="60"/>
      <c r="Z387" s="60"/>
      <c r="AA387" s="61">
        <f>SUM(X387:Z387)</f>
        <v>0</v>
      </c>
      <c r="AB387" s="60"/>
      <c r="AC387" s="60"/>
      <c r="AD387" s="60"/>
      <c r="AE387" s="61">
        <f>SUM(AB387:AD387)</f>
        <v>0</v>
      </c>
      <c r="AF387" s="68">
        <f t="shared" si="86"/>
        <v>0</v>
      </c>
    </row>
    <row r="388" spans="1:32" hidden="1" x14ac:dyDescent="0.35">
      <c r="A388" s="111"/>
      <c r="B388" s="54"/>
      <c r="C388" s="63" t="s">
        <v>235</v>
      </c>
      <c r="D388" s="63"/>
      <c r="E388" s="63"/>
      <c r="F388" s="63"/>
      <c r="G388" s="61">
        <f>SUM(D388:F388)</f>
        <v>0</v>
      </c>
      <c r="H388" s="63"/>
      <c r="I388" s="63"/>
      <c r="J388" s="63"/>
      <c r="K388" s="61">
        <f>SUM(H388:J388)</f>
        <v>0</v>
      </c>
      <c r="L388" s="63"/>
      <c r="M388" s="63"/>
      <c r="N388" s="63"/>
      <c r="O388" s="61">
        <f>SUM(L388:N388)</f>
        <v>0</v>
      </c>
      <c r="P388" s="63"/>
      <c r="Q388" s="63"/>
      <c r="R388" s="63"/>
      <c r="S388" s="61">
        <f>SUM(P388:R388)</f>
        <v>0</v>
      </c>
      <c r="T388" s="63">
        <v>1</v>
      </c>
      <c r="U388" s="63"/>
      <c r="V388" s="63"/>
      <c r="W388" s="61">
        <f>SUM(T388:V388)</f>
        <v>1</v>
      </c>
      <c r="X388" s="63"/>
      <c r="Y388" s="63"/>
      <c r="Z388" s="63"/>
      <c r="AA388" s="61">
        <f>SUM(X388:Z388)</f>
        <v>0</v>
      </c>
      <c r="AB388" s="63"/>
      <c r="AC388" s="63"/>
      <c r="AD388" s="63"/>
      <c r="AE388" s="61">
        <f>SUM(AB388:AD388)</f>
        <v>0</v>
      </c>
      <c r="AF388" s="68">
        <f t="shared" si="86"/>
        <v>1</v>
      </c>
    </row>
    <row r="389" spans="1:32" hidden="1" x14ac:dyDescent="0.35">
      <c r="A389" s="66" t="s">
        <v>397</v>
      </c>
      <c r="B389" s="67"/>
      <c r="C389" s="66"/>
      <c r="D389" s="66">
        <f t="shared" ref="D389:AE389" si="92">SUM(D385:D388)</f>
        <v>0</v>
      </c>
      <c r="E389" s="66">
        <f t="shared" si="92"/>
        <v>0</v>
      </c>
      <c r="F389" s="66">
        <f t="shared" si="92"/>
        <v>0</v>
      </c>
      <c r="G389" s="61">
        <f t="shared" si="92"/>
        <v>0</v>
      </c>
      <c r="H389" s="66">
        <f t="shared" si="92"/>
        <v>0</v>
      </c>
      <c r="I389" s="66">
        <f t="shared" si="92"/>
        <v>0</v>
      </c>
      <c r="J389" s="66">
        <f t="shared" si="92"/>
        <v>0</v>
      </c>
      <c r="K389" s="61">
        <f t="shared" si="92"/>
        <v>0</v>
      </c>
      <c r="L389" s="66">
        <f t="shared" si="92"/>
        <v>0</v>
      </c>
      <c r="M389" s="66">
        <f t="shared" si="92"/>
        <v>0</v>
      </c>
      <c r="N389" s="66">
        <f t="shared" si="92"/>
        <v>0</v>
      </c>
      <c r="O389" s="61">
        <f t="shared" si="92"/>
        <v>0</v>
      </c>
      <c r="P389" s="66">
        <f t="shared" si="92"/>
        <v>0</v>
      </c>
      <c r="Q389" s="66">
        <f t="shared" si="92"/>
        <v>0</v>
      </c>
      <c r="R389" s="66">
        <f t="shared" si="92"/>
        <v>0</v>
      </c>
      <c r="S389" s="61">
        <f t="shared" si="92"/>
        <v>0</v>
      </c>
      <c r="T389" s="66">
        <f t="shared" si="92"/>
        <v>3</v>
      </c>
      <c r="U389" s="66">
        <f t="shared" si="92"/>
        <v>0</v>
      </c>
      <c r="V389" s="66">
        <f t="shared" si="92"/>
        <v>0</v>
      </c>
      <c r="W389" s="61">
        <f t="shared" si="92"/>
        <v>3</v>
      </c>
      <c r="X389" s="66">
        <f t="shared" si="92"/>
        <v>0</v>
      </c>
      <c r="Y389" s="66">
        <f t="shared" si="92"/>
        <v>0</v>
      </c>
      <c r="Z389" s="66">
        <f t="shared" si="92"/>
        <v>0</v>
      </c>
      <c r="AA389" s="61">
        <f t="shared" si="92"/>
        <v>0</v>
      </c>
      <c r="AB389" s="66">
        <f t="shared" si="92"/>
        <v>0</v>
      </c>
      <c r="AC389" s="66">
        <f t="shared" si="92"/>
        <v>0</v>
      </c>
      <c r="AD389" s="66">
        <f t="shared" si="92"/>
        <v>0</v>
      </c>
      <c r="AE389" s="61">
        <f t="shared" si="92"/>
        <v>0</v>
      </c>
      <c r="AF389" s="68">
        <f t="shared" si="86"/>
        <v>3</v>
      </c>
    </row>
    <row r="390" spans="1:32" hidden="1" x14ac:dyDescent="0.35">
      <c r="A390" s="111" t="s">
        <v>366</v>
      </c>
      <c r="B390" s="54"/>
      <c r="C390" s="60" t="s">
        <v>225</v>
      </c>
      <c r="D390" s="60"/>
      <c r="E390" s="60"/>
      <c r="F390" s="60"/>
      <c r="G390" s="61">
        <f>SUM(D390:F390)</f>
        <v>0</v>
      </c>
      <c r="H390" s="60"/>
      <c r="I390" s="60"/>
      <c r="J390" s="60"/>
      <c r="K390" s="61">
        <f>SUM(H390:J390)</f>
        <v>0</v>
      </c>
      <c r="L390" s="60"/>
      <c r="M390" s="60"/>
      <c r="N390" s="60"/>
      <c r="O390" s="61">
        <f>SUM(L390:N390)</f>
        <v>0</v>
      </c>
      <c r="P390" s="60"/>
      <c r="Q390" s="60"/>
      <c r="R390" s="60"/>
      <c r="S390" s="61">
        <f>SUM(P390:R390)</f>
        <v>0</v>
      </c>
      <c r="T390" s="60"/>
      <c r="U390" s="60"/>
      <c r="V390" s="60"/>
      <c r="W390" s="61">
        <f>SUM(T390:V390)</f>
        <v>0</v>
      </c>
      <c r="X390" s="60"/>
      <c r="Y390" s="60"/>
      <c r="Z390" s="60"/>
      <c r="AA390" s="61">
        <f>SUM(X390:Z390)</f>
        <v>0</v>
      </c>
      <c r="AB390" s="60"/>
      <c r="AC390" s="60"/>
      <c r="AD390" s="60"/>
      <c r="AE390" s="61">
        <f>SUM(AB390:AD390)</f>
        <v>0</v>
      </c>
      <c r="AF390" s="68">
        <f t="shared" si="86"/>
        <v>0</v>
      </c>
    </row>
    <row r="391" spans="1:32" hidden="1" x14ac:dyDescent="0.35">
      <c r="A391" s="111"/>
      <c r="B391" s="54"/>
      <c r="C391" s="63" t="s">
        <v>227</v>
      </c>
      <c r="D391" s="63"/>
      <c r="E391" s="63"/>
      <c r="F391" s="63"/>
      <c r="G391" s="61">
        <f>SUM(D391:F391)</f>
        <v>0</v>
      </c>
      <c r="H391" s="63"/>
      <c r="I391" s="63"/>
      <c r="J391" s="63"/>
      <c r="K391" s="61">
        <f>SUM(H391:J391)</f>
        <v>0</v>
      </c>
      <c r="L391" s="63"/>
      <c r="M391" s="63"/>
      <c r="N391" s="63"/>
      <c r="O391" s="61">
        <f>SUM(L391:N391)</f>
        <v>0</v>
      </c>
      <c r="P391" s="63"/>
      <c r="Q391" s="63"/>
      <c r="R391" s="63"/>
      <c r="S391" s="61">
        <f>SUM(P391:R391)</f>
        <v>0</v>
      </c>
      <c r="T391" s="63"/>
      <c r="U391" s="63"/>
      <c r="V391" s="63"/>
      <c r="W391" s="61">
        <f>SUM(T391:V391)</f>
        <v>0</v>
      </c>
      <c r="X391" s="63"/>
      <c r="Y391" s="63"/>
      <c r="Z391" s="63"/>
      <c r="AA391" s="61">
        <f>SUM(X391:Z391)</f>
        <v>0</v>
      </c>
      <c r="AB391" s="63"/>
      <c r="AC391" s="63"/>
      <c r="AD391" s="63"/>
      <c r="AE391" s="61">
        <f>SUM(AB391:AD391)</f>
        <v>0</v>
      </c>
      <c r="AF391" s="68">
        <f t="shared" si="86"/>
        <v>0</v>
      </c>
    </row>
    <row r="392" spans="1:32" hidden="1" x14ac:dyDescent="0.35">
      <c r="A392" s="111"/>
      <c r="B392" s="54"/>
      <c r="C392" s="60" t="s">
        <v>228</v>
      </c>
      <c r="D392" s="60"/>
      <c r="E392" s="60"/>
      <c r="F392" s="60"/>
      <c r="G392" s="61">
        <f>SUM(D392:F392)</f>
        <v>0</v>
      </c>
      <c r="H392" s="60"/>
      <c r="I392" s="60"/>
      <c r="J392" s="60"/>
      <c r="K392" s="61">
        <f>SUM(H392:J392)</f>
        <v>0</v>
      </c>
      <c r="L392" s="60"/>
      <c r="M392" s="60"/>
      <c r="N392" s="60"/>
      <c r="O392" s="61">
        <f>SUM(L392:N392)</f>
        <v>0</v>
      </c>
      <c r="P392" s="60"/>
      <c r="Q392" s="60"/>
      <c r="R392" s="60"/>
      <c r="S392" s="61">
        <f>SUM(P392:R392)</f>
        <v>0</v>
      </c>
      <c r="T392" s="60"/>
      <c r="U392" s="60"/>
      <c r="V392" s="60"/>
      <c r="W392" s="61">
        <f>SUM(T392:V392)</f>
        <v>0</v>
      </c>
      <c r="X392" s="60"/>
      <c r="Y392" s="60"/>
      <c r="Z392" s="60"/>
      <c r="AA392" s="61">
        <f>SUM(X392:Z392)</f>
        <v>0</v>
      </c>
      <c r="AB392" s="60"/>
      <c r="AC392" s="60"/>
      <c r="AD392" s="60"/>
      <c r="AE392" s="61">
        <f>SUM(AB392:AD392)</f>
        <v>0</v>
      </c>
      <c r="AF392" s="68">
        <f t="shared" ref="AF392:AF423" si="93">SUM(G392,K392,O392,S392,W392,AA392,AE392)</f>
        <v>0</v>
      </c>
    </row>
    <row r="393" spans="1:32" hidden="1" x14ac:dyDescent="0.35">
      <c r="A393" s="111"/>
      <c r="B393" s="54"/>
      <c r="C393" s="63" t="s">
        <v>235</v>
      </c>
      <c r="D393" s="63"/>
      <c r="E393" s="63"/>
      <c r="F393" s="63"/>
      <c r="G393" s="61">
        <f>SUM(D393:F393)</f>
        <v>0</v>
      </c>
      <c r="H393" s="63"/>
      <c r="I393" s="63"/>
      <c r="J393" s="63"/>
      <c r="K393" s="61">
        <f>SUM(H393:J393)</f>
        <v>0</v>
      </c>
      <c r="L393" s="63"/>
      <c r="M393" s="63"/>
      <c r="N393" s="63"/>
      <c r="O393" s="61">
        <f>SUM(L393:N393)</f>
        <v>0</v>
      </c>
      <c r="P393" s="63"/>
      <c r="Q393" s="63"/>
      <c r="R393" s="63"/>
      <c r="S393" s="61">
        <f>SUM(P393:R393)</f>
        <v>0</v>
      </c>
      <c r="T393" s="63"/>
      <c r="U393" s="63"/>
      <c r="V393" s="63"/>
      <c r="W393" s="61">
        <f>SUM(T393:V393)</f>
        <v>0</v>
      </c>
      <c r="X393" s="63"/>
      <c r="Y393" s="63"/>
      <c r="Z393" s="63"/>
      <c r="AA393" s="61">
        <f>SUM(X393:Z393)</f>
        <v>0</v>
      </c>
      <c r="AB393" s="63"/>
      <c r="AC393" s="63"/>
      <c r="AD393" s="63"/>
      <c r="AE393" s="61">
        <f>SUM(AB393:AD393)</f>
        <v>0</v>
      </c>
      <c r="AF393" s="68">
        <f t="shared" si="93"/>
        <v>0</v>
      </c>
    </row>
    <row r="394" spans="1:32" hidden="1" x14ac:dyDescent="0.35">
      <c r="A394" s="76" t="s">
        <v>366</v>
      </c>
      <c r="B394" s="67"/>
      <c r="C394" s="66"/>
      <c r="D394" s="66">
        <f t="shared" ref="D394:AE394" si="94">SUM(D390:D393)</f>
        <v>0</v>
      </c>
      <c r="E394" s="66">
        <f t="shared" si="94"/>
        <v>0</v>
      </c>
      <c r="F394" s="66">
        <f t="shared" si="94"/>
        <v>0</v>
      </c>
      <c r="G394" s="61">
        <f t="shared" si="94"/>
        <v>0</v>
      </c>
      <c r="H394" s="66">
        <f t="shared" si="94"/>
        <v>0</v>
      </c>
      <c r="I394" s="66">
        <f t="shared" si="94"/>
        <v>0</v>
      </c>
      <c r="J394" s="66">
        <f t="shared" si="94"/>
        <v>0</v>
      </c>
      <c r="K394" s="61">
        <f t="shared" si="94"/>
        <v>0</v>
      </c>
      <c r="L394" s="66">
        <f t="shared" si="94"/>
        <v>0</v>
      </c>
      <c r="M394" s="66">
        <f t="shared" si="94"/>
        <v>0</v>
      </c>
      <c r="N394" s="66">
        <f t="shared" si="94"/>
        <v>0</v>
      </c>
      <c r="O394" s="61">
        <f t="shared" si="94"/>
        <v>0</v>
      </c>
      <c r="P394" s="66">
        <f t="shared" si="94"/>
        <v>0</v>
      </c>
      <c r="Q394" s="66">
        <f t="shared" si="94"/>
        <v>0</v>
      </c>
      <c r="R394" s="66">
        <f t="shared" si="94"/>
        <v>0</v>
      </c>
      <c r="S394" s="61">
        <f t="shared" si="94"/>
        <v>0</v>
      </c>
      <c r="T394" s="66">
        <f t="shared" si="94"/>
        <v>0</v>
      </c>
      <c r="U394" s="66">
        <f t="shared" si="94"/>
        <v>0</v>
      </c>
      <c r="V394" s="66">
        <f t="shared" si="94"/>
        <v>0</v>
      </c>
      <c r="W394" s="61">
        <f t="shared" si="94"/>
        <v>0</v>
      </c>
      <c r="X394" s="66">
        <f t="shared" si="94"/>
        <v>0</v>
      </c>
      <c r="Y394" s="66">
        <f t="shared" si="94"/>
        <v>0</v>
      </c>
      <c r="Z394" s="66">
        <f t="shared" si="94"/>
        <v>0</v>
      </c>
      <c r="AA394" s="61">
        <f t="shared" si="94"/>
        <v>0</v>
      </c>
      <c r="AB394" s="66">
        <f t="shared" si="94"/>
        <v>0</v>
      </c>
      <c r="AC394" s="66">
        <f t="shared" si="94"/>
        <v>0</v>
      </c>
      <c r="AD394" s="66">
        <f t="shared" si="94"/>
        <v>0</v>
      </c>
      <c r="AE394" s="61">
        <f t="shared" si="94"/>
        <v>0</v>
      </c>
      <c r="AF394" s="68">
        <f t="shared" si="93"/>
        <v>0</v>
      </c>
    </row>
    <row r="395" spans="1:32" ht="18" customHeight="1" x14ac:dyDescent="0.35">
      <c r="A395" s="66" t="s">
        <v>364</v>
      </c>
      <c r="B395" s="67" t="s">
        <v>365</v>
      </c>
      <c r="C395" s="66"/>
      <c r="D395" s="66">
        <f t="shared" ref="D395:AE395" si="95">SUM(D394,D389)</f>
        <v>0</v>
      </c>
      <c r="E395" s="66">
        <f t="shared" si="95"/>
        <v>0</v>
      </c>
      <c r="F395" s="66">
        <f t="shared" si="95"/>
        <v>0</v>
      </c>
      <c r="G395" s="61">
        <f t="shared" si="95"/>
        <v>0</v>
      </c>
      <c r="H395" s="66">
        <f t="shared" si="95"/>
        <v>0</v>
      </c>
      <c r="I395" s="66">
        <f t="shared" si="95"/>
        <v>0</v>
      </c>
      <c r="J395" s="66">
        <f t="shared" si="95"/>
        <v>0</v>
      </c>
      <c r="K395" s="61">
        <f t="shared" si="95"/>
        <v>0</v>
      </c>
      <c r="L395" s="66">
        <f t="shared" si="95"/>
        <v>0</v>
      </c>
      <c r="M395" s="66">
        <f t="shared" si="95"/>
        <v>0</v>
      </c>
      <c r="N395" s="66">
        <f t="shared" si="95"/>
        <v>0</v>
      </c>
      <c r="O395" s="61">
        <f t="shared" si="95"/>
        <v>0</v>
      </c>
      <c r="P395" s="66">
        <f t="shared" si="95"/>
        <v>0</v>
      </c>
      <c r="Q395" s="66">
        <f t="shared" si="95"/>
        <v>0</v>
      </c>
      <c r="R395" s="66">
        <f t="shared" si="95"/>
        <v>0</v>
      </c>
      <c r="S395" s="61">
        <f t="shared" si="95"/>
        <v>0</v>
      </c>
      <c r="T395" s="66">
        <f t="shared" si="95"/>
        <v>3</v>
      </c>
      <c r="U395" s="66">
        <f t="shared" si="95"/>
        <v>0</v>
      </c>
      <c r="V395" s="66">
        <f t="shared" si="95"/>
        <v>0</v>
      </c>
      <c r="W395" s="61">
        <f t="shared" si="95"/>
        <v>3</v>
      </c>
      <c r="X395" s="66">
        <f t="shared" si="95"/>
        <v>0</v>
      </c>
      <c r="Y395" s="66">
        <f t="shared" si="95"/>
        <v>0</v>
      </c>
      <c r="Z395" s="66">
        <f t="shared" si="95"/>
        <v>0</v>
      </c>
      <c r="AA395" s="61">
        <f t="shared" si="95"/>
        <v>0</v>
      </c>
      <c r="AB395" s="66">
        <f t="shared" si="95"/>
        <v>0</v>
      </c>
      <c r="AC395" s="66">
        <f t="shared" si="95"/>
        <v>0</v>
      </c>
      <c r="AD395" s="66">
        <f t="shared" si="95"/>
        <v>0</v>
      </c>
      <c r="AE395" s="61">
        <f t="shared" si="95"/>
        <v>0</v>
      </c>
      <c r="AF395" s="68">
        <f t="shared" si="93"/>
        <v>3</v>
      </c>
    </row>
    <row r="396" spans="1:32" hidden="1" x14ac:dyDescent="0.35">
      <c r="A396" s="59" t="s">
        <v>367</v>
      </c>
      <c r="B396" s="54" t="s">
        <v>368</v>
      </c>
      <c r="C396" s="60" t="s">
        <v>225</v>
      </c>
      <c r="D396" s="60"/>
      <c r="E396" s="60"/>
      <c r="F396" s="60"/>
      <c r="G396" s="61">
        <f>SUM(D396:F396)</f>
        <v>0</v>
      </c>
      <c r="H396" s="60"/>
      <c r="I396" s="60"/>
      <c r="J396" s="60"/>
      <c r="K396" s="61">
        <f>SUM(H396:J396)</f>
        <v>0</v>
      </c>
      <c r="L396" s="60"/>
      <c r="M396" s="60"/>
      <c r="N396" s="60"/>
      <c r="O396" s="61">
        <f>SUM(L396:N396)</f>
        <v>0</v>
      </c>
      <c r="P396" s="60"/>
      <c r="Q396" s="60"/>
      <c r="R396" s="60"/>
      <c r="S396" s="61">
        <f>SUM(P396:R396)</f>
        <v>0</v>
      </c>
      <c r="T396" s="60"/>
      <c r="U396" s="60"/>
      <c r="V396" s="60"/>
      <c r="W396" s="61">
        <f>SUM(T396:V396)</f>
        <v>0</v>
      </c>
      <c r="X396" s="60"/>
      <c r="Y396" s="60"/>
      <c r="Z396" s="60"/>
      <c r="AA396" s="61">
        <f>SUM(X396:Z396)</f>
        <v>0</v>
      </c>
      <c r="AB396" s="60"/>
      <c r="AC396" s="60"/>
      <c r="AD396" s="60"/>
      <c r="AE396" s="61">
        <f>SUM(AB396:AD396)</f>
        <v>0</v>
      </c>
      <c r="AF396" s="68">
        <f t="shared" si="93"/>
        <v>0</v>
      </c>
    </row>
    <row r="397" spans="1:32" hidden="1" x14ac:dyDescent="0.35">
      <c r="A397" s="111" t="s">
        <v>291</v>
      </c>
      <c r="B397" s="54"/>
      <c r="C397" s="63" t="s">
        <v>227</v>
      </c>
      <c r="D397" s="63"/>
      <c r="E397" s="63"/>
      <c r="F397" s="63"/>
      <c r="G397" s="61">
        <f>SUM(D397:F397)</f>
        <v>0</v>
      </c>
      <c r="H397" s="63"/>
      <c r="I397" s="63"/>
      <c r="J397" s="63"/>
      <c r="K397" s="61">
        <f>SUM(H397:J397)</f>
        <v>0</v>
      </c>
      <c r="L397" s="63"/>
      <c r="M397" s="63"/>
      <c r="N397" s="63"/>
      <c r="O397" s="61">
        <f>SUM(L397:N397)</f>
        <v>0</v>
      </c>
      <c r="P397" s="63"/>
      <c r="Q397" s="63"/>
      <c r="R397" s="63"/>
      <c r="S397" s="61">
        <f>SUM(P397:R397)</f>
        <v>0</v>
      </c>
      <c r="T397" s="63"/>
      <c r="U397" s="63"/>
      <c r="V397" s="63"/>
      <c r="W397" s="61">
        <f>SUM(T397:V397)</f>
        <v>0</v>
      </c>
      <c r="X397" s="63"/>
      <c r="Y397" s="63"/>
      <c r="Z397" s="63"/>
      <c r="AA397" s="61">
        <f>SUM(X397:Z397)</f>
        <v>0</v>
      </c>
      <c r="AB397" s="63"/>
      <c r="AC397" s="63"/>
      <c r="AD397" s="63"/>
      <c r="AE397" s="61">
        <f>SUM(AB397:AD397)</f>
        <v>0</v>
      </c>
      <c r="AF397" s="68">
        <f t="shared" si="93"/>
        <v>0</v>
      </c>
    </row>
    <row r="398" spans="1:32" hidden="1" x14ac:dyDescent="0.35">
      <c r="A398" s="111"/>
      <c r="B398" s="54"/>
      <c r="C398" s="60" t="s">
        <v>228</v>
      </c>
      <c r="D398" s="60"/>
      <c r="E398" s="60"/>
      <c r="F398" s="60"/>
      <c r="G398" s="61">
        <f>SUM(D398:F398)</f>
        <v>0</v>
      </c>
      <c r="H398" s="60"/>
      <c r="I398" s="60"/>
      <c r="J398" s="60"/>
      <c r="K398" s="61">
        <f>SUM(H398:J398)</f>
        <v>0</v>
      </c>
      <c r="L398" s="60"/>
      <c r="M398" s="60"/>
      <c r="N398" s="60"/>
      <c r="O398" s="61">
        <f>SUM(L398:N398)</f>
        <v>0</v>
      </c>
      <c r="P398" s="60"/>
      <c r="Q398" s="60"/>
      <c r="R398" s="60"/>
      <c r="S398" s="61">
        <f>SUM(P398:R398)</f>
        <v>0</v>
      </c>
      <c r="T398" s="60"/>
      <c r="U398" s="60"/>
      <c r="V398" s="60"/>
      <c r="W398" s="61">
        <f>SUM(T398:V398)</f>
        <v>0</v>
      </c>
      <c r="X398" s="60"/>
      <c r="Y398" s="60"/>
      <c r="Z398" s="60"/>
      <c r="AA398" s="61">
        <f>SUM(X398:Z398)</f>
        <v>0</v>
      </c>
      <c r="AB398" s="60"/>
      <c r="AC398" s="60"/>
      <c r="AD398" s="60"/>
      <c r="AE398" s="61">
        <f>SUM(AB398:AD398)</f>
        <v>0</v>
      </c>
      <c r="AF398" s="68">
        <f t="shared" si="93"/>
        <v>0</v>
      </c>
    </row>
    <row r="399" spans="1:32" hidden="1" x14ac:dyDescent="0.35">
      <c r="A399" s="111"/>
      <c r="B399" s="54"/>
      <c r="C399" s="63" t="s">
        <v>235</v>
      </c>
      <c r="D399" s="63"/>
      <c r="E399" s="63"/>
      <c r="F399" s="63"/>
      <c r="G399" s="61">
        <f>SUM(D399:F399)</f>
        <v>0</v>
      </c>
      <c r="H399" s="63"/>
      <c r="I399" s="63"/>
      <c r="J399" s="63"/>
      <c r="K399" s="61">
        <f>SUM(H399:J399)</f>
        <v>0</v>
      </c>
      <c r="L399" s="63"/>
      <c r="M399" s="63"/>
      <c r="N399" s="63"/>
      <c r="O399" s="61">
        <f>SUM(L399:N399)</f>
        <v>0</v>
      </c>
      <c r="P399" s="63"/>
      <c r="Q399" s="63"/>
      <c r="R399" s="63"/>
      <c r="S399" s="61">
        <f>SUM(P399:R399)</f>
        <v>0</v>
      </c>
      <c r="T399" s="63">
        <v>2</v>
      </c>
      <c r="U399" s="63"/>
      <c r="V399" s="63"/>
      <c r="W399" s="61">
        <f>SUM(T399:V399)</f>
        <v>2</v>
      </c>
      <c r="X399" s="63"/>
      <c r="Y399" s="63"/>
      <c r="Z399" s="63"/>
      <c r="AA399" s="61">
        <f>SUM(X399:Z399)</f>
        <v>0</v>
      </c>
      <c r="AB399" s="63"/>
      <c r="AC399" s="63"/>
      <c r="AD399" s="63"/>
      <c r="AE399" s="61">
        <f>SUM(AB399:AD399)</f>
        <v>0</v>
      </c>
      <c r="AF399" s="68">
        <f t="shared" si="93"/>
        <v>2</v>
      </c>
    </row>
    <row r="400" spans="1:32" x14ac:dyDescent="0.35">
      <c r="A400" s="66" t="s">
        <v>367</v>
      </c>
      <c r="B400" s="67" t="s">
        <v>368</v>
      </c>
      <c r="C400" s="66"/>
      <c r="D400" s="66">
        <f t="shared" ref="D400:AE400" si="96">SUM(D396:D399)</f>
        <v>0</v>
      </c>
      <c r="E400" s="66">
        <f t="shared" si="96"/>
        <v>0</v>
      </c>
      <c r="F400" s="66">
        <f t="shared" si="96"/>
        <v>0</v>
      </c>
      <c r="G400" s="61">
        <f t="shared" si="96"/>
        <v>0</v>
      </c>
      <c r="H400" s="66">
        <f t="shared" si="96"/>
        <v>0</v>
      </c>
      <c r="I400" s="66">
        <f t="shared" si="96"/>
        <v>0</v>
      </c>
      <c r="J400" s="66">
        <f t="shared" si="96"/>
        <v>0</v>
      </c>
      <c r="K400" s="61">
        <f t="shared" si="96"/>
        <v>0</v>
      </c>
      <c r="L400" s="66">
        <f t="shared" si="96"/>
        <v>0</v>
      </c>
      <c r="M400" s="66">
        <f t="shared" si="96"/>
        <v>0</v>
      </c>
      <c r="N400" s="66">
        <f t="shared" si="96"/>
        <v>0</v>
      </c>
      <c r="O400" s="61">
        <f t="shared" si="96"/>
        <v>0</v>
      </c>
      <c r="P400" s="66">
        <f t="shared" si="96"/>
        <v>0</v>
      </c>
      <c r="Q400" s="66">
        <f t="shared" si="96"/>
        <v>0</v>
      </c>
      <c r="R400" s="66">
        <f t="shared" si="96"/>
        <v>0</v>
      </c>
      <c r="S400" s="61">
        <f t="shared" si="96"/>
        <v>0</v>
      </c>
      <c r="T400" s="66">
        <f t="shared" si="96"/>
        <v>2</v>
      </c>
      <c r="U400" s="66">
        <f t="shared" si="96"/>
        <v>0</v>
      </c>
      <c r="V400" s="66">
        <f t="shared" si="96"/>
        <v>0</v>
      </c>
      <c r="W400" s="61">
        <f t="shared" si="96"/>
        <v>2</v>
      </c>
      <c r="X400" s="66">
        <f t="shared" si="96"/>
        <v>0</v>
      </c>
      <c r="Y400" s="66">
        <f t="shared" si="96"/>
        <v>0</v>
      </c>
      <c r="Z400" s="66">
        <f t="shared" si="96"/>
        <v>0</v>
      </c>
      <c r="AA400" s="61">
        <f t="shared" si="96"/>
        <v>0</v>
      </c>
      <c r="AB400" s="66">
        <f t="shared" si="96"/>
        <v>0</v>
      </c>
      <c r="AC400" s="66">
        <f t="shared" si="96"/>
        <v>0</v>
      </c>
      <c r="AD400" s="66">
        <f t="shared" si="96"/>
        <v>0</v>
      </c>
      <c r="AE400" s="61">
        <f t="shared" si="96"/>
        <v>0</v>
      </c>
      <c r="AF400" s="68">
        <f t="shared" si="93"/>
        <v>2</v>
      </c>
    </row>
    <row r="401" spans="1:32" hidden="1" x14ac:dyDescent="0.35">
      <c r="A401" s="59" t="s">
        <v>369</v>
      </c>
      <c r="B401" s="54">
        <v>10</v>
      </c>
      <c r="C401" s="60" t="s">
        <v>225</v>
      </c>
      <c r="D401" s="60"/>
      <c r="E401" s="60"/>
      <c r="F401" s="60"/>
      <c r="G401" s="61">
        <f>SUM(D401:F401)</f>
        <v>0</v>
      </c>
      <c r="H401" s="60"/>
      <c r="I401" s="60"/>
      <c r="J401" s="60"/>
      <c r="K401" s="61">
        <f>SUM(H401:J401)</f>
        <v>0</v>
      </c>
      <c r="L401" s="60"/>
      <c r="M401" s="60"/>
      <c r="N401" s="60"/>
      <c r="O401" s="61">
        <f>SUM(L401:N401)</f>
        <v>0</v>
      </c>
      <c r="P401" s="60"/>
      <c r="Q401" s="60"/>
      <c r="R401" s="60"/>
      <c r="S401" s="61">
        <f>SUM(P401:R401)</f>
        <v>0</v>
      </c>
      <c r="T401" s="60"/>
      <c r="U401" s="60"/>
      <c r="V401" s="60"/>
      <c r="W401" s="61">
        <f>SUM(T401:V401)</f>
        <v>0</v>
      </c>
      <c r="X401" s="60"/>
      <c r="Y401" s="60"/>
      <c r="Z401" s="60"/>
      <c r="AA401" s="61">
        <f>SUM(X401:Z401)</f>
        <v>0</v>
      </c>
      <c r="AB401" s="60"/>
      <c r="AC401" s="60"/>
      <c r="AD401" s="60"/>
      <c r="AE401" s="61">
        <f>SUM(AB401:AD401)</f>
        <v>0</v>
      </c>
      <c r="AF401" s="68">
        <f t="shared" si="93"/>
        <v>0</v>
      </c>
    </row>
    <row r="402" spans="1:32" hidden="1" x14ac:dyDescent="0.35">
      <c r="A402" s="111" t="s">
        <v>291</v>
      </c>
      <c r="B402" s="54"/>
      <c r="C402" s="63" t="s">
        <v>227</v>
      </c>
      <c r="D402" s="63"/>
      <c r="E402" s="63"/>
      <c r="F402" s="63"/>
      <c r="G402" s="61">
        <f>SUM(D402:F402)</f>
        <v>0</v>
      </c>
      <c r="H402" s="63"/>
      <c r="I402" s="63"/>
      <c r="J402" s="63"/>
      <c r="K402" s="61">
        <f>SUM(H402:J402)</f>
        <v>0</v>
      </c>
      <c r="L402" s="63"/>
      <c r="M402" s="63"/>
      <c r="N402" s="63"/>
      <c r="O402" s="61">
        <f>SUM(L402:N402)</f>
        <v>0</v>
      </c>
      <c r="P402" s="63"/>
      <c r="Q402" s="63"/>
      <c r="R402" s="63"/>
      <c r="S402" s="61">
        <f>SUM(P402:R402)</f>
        <v>0</v>
      </c>
      <c r="T402" s="63">
        <v>2</v>
      </c>
      <c r="U402" s="63"/>
      <c r="V402" s="63"/>
      <c r="W402" s="61">
        <f>SUM(T402:V402)</f>
        <v>2</v>
      </c>
      <c r="X402" s="63"/>
      <c r="Y402" s="63"/>
      <c r="Z402" s="63"/>
      <c r="AA402" s="61">
        <f>SUM(X402:Z402)</f>
        <v>0</v>
      </c>
      <c r="AB402" s="63"/>
      <c r="AC402" s="63"/>
      <c r="AD402" s="63"/>
      <c r="AE402" s="61">
        <f>SUM(AB402:AD402)</f>
        <v>0</v>
      </c>
      <c r="AF402" s="68">
        <f t="shared" si="93"/>
        <v>2</v>
      </c>
    </row>
    <row r="403" spans="1:32" hidden="1" x14ac:dyDescent="0.35">
      <c r="A403" s="111"/>
      <c r="B403" s="54"/>
      <c r="C403" s="60" t="s">
        <v>228</v>
      </c>
      <c r="D403" s="60"/>
      <c r="E403" s="60"/>
      <c r="F403" s="60"/>
      <c r="G403" s="61">
        <f>SUM(D403:F403)</f>
        <v>0</v>
      </c>
      <c r="H403" s="60"/>
      <c r="I403" s="60"/>
      <c r="J403" s="60"/>
      <c r="K403" s="61">
        <f>SUM(H403:J403)</f>
        <v>0</v>
      </c>
      <c r="L403" s="60"/>
      <c r="M403" s="60"/>
      <c r="N403" s="60"/>
      <c r="O403" s="61">
        <f>SUM(L403:N403)</f>
        <v>0</v>
      </c>
      <c r="P403" s="60"/>
      <c r="Q403" s="60"/>
      <c r="R403" s="60"/>
      <c r="S403" s="61">
        <f>SUM(P403:R403)</f>
        <v>0</v>
      </c>
      <c r="T403" s="60"/>
      <c r="U403" s="60"/>
      <c r="V403" s="60"/>
      <c r="W403" s="61">
        <f>SUM(T403:V403)</f>
        <v>0</v>
      </c>
      <c r="X403" s="60"/>
      <c r="Y403" s="60"/>
      <c r="Z403" s="60"/>
      <c r="AA403" s="61">
        <f>SUM(X403:Z403)</f>
        <v>0</v>
      </c>
      <c r="AB403" s="60"/>
      <c r="AC403" s="60"/>
      <c r="AD403" s="60"/>
      <c r="AE403" s="61">
        <f>SUM(AB403:AD403)</f>
        <v>0</v>
      </c>
      <c r="AF403" s="68">
        <f t="shared" si="93"/>
        <v>0</v>
      </c>
    </row>
    <row r="404" spans="1:32" hidden="1" x14ac:dyDescent="0.35">
      <c r="A404" s="111"/>
      <c r="B404" s="54"/>
      <c r="C404" s="63" t="s">
        <v>235</v>
      </c>
      <c r="D404" s="63"/>
      <c r="E404" s="63"/>
      <c r="F404" s="63"/>
      <c r="G404" s="61">
        <f>SUM(D404:F404)</f>
        <v>0</v>
      </c>
      <c r="H404" s="63"/>
      <c r="I404" s="63"/>
      <c r="J404" s="63"/>
      <c r="K404" s="61">
        <f>SUM(H404:J404)</f>
        <v>0</v>
      </c>
      <c r="L404" s="63"/>
      <c r="M404" s="63"/>
      <c r="N404" s="63"/>
      <c r="O404" s="61">
        <f>SUM(L404:N404)</f>
        <v>0</v>
      </c>
      <c r="P404" s="63"/>
      <c r="Q404" s="63"/>
      <c r="R404" s="63"/>
      <c r="S404" s="61">
        <f>SUM(P404:R404)</f>
        <v>0</v>
      </c>
      <c r="T404" s="63">
        <v>8</v>
      </c>
      <c r="U404" s="63">
        <v>2</v>
      </c>
      <c r="V404" s="63"/>
      <c r="W404" s="61">
        <f>SUM(T404:V404)</f>
        <v>10</v>
      </c>
      <c r="X404" s="63"/>
      <c r="Y404" s="63"/>
      <c r="Z404" s="63"/>
      <c r="AA404" s="61">
        <f>SUM(X404:Z404)</f>
        <v>0</v>
      </c>
      <c r="AB404" s="63"/>
      <c r="AC404" s="63"/>
      <c r="AD404" s="63"/>
      <c r="AE404" s="61">
        <f>SUM(AB404:AD404)</f>
        <v>0</v>
      </c>
      <c r="AF404" s="68">
        <f t="shared" si="93"/>
        <v>10</v>
      </c>
    </row>
    <row r="405" spans="1:32" hidden="1" x14ac:dyDescent="0.35">
      <c r="A405" s="66" t="s">
        <v>291</v>
      </c>
      <c r="B405" s="67"/>
      <c r="C405" s="66"/>
      <c r="D405" s="66">
        <f t="shared" ref="D405:AE405" si="97">SUM(D401:D404)</f>
        <v>0</v>
      </c>
      <c r="E405" s="66">
        <f t="shared" si="97"/>
        <v>0</v>
      </c>
      <c r="F405" s="66">
        <f t="shared" si="97"/>
        <v>0</v>
      </c>
      <c r="G405" s="61">
        <f t="shared" si="97"/>
        <v>0</v>
      </c>
      <c r="H405" s="66">
        <f t="shared" si="97"/>
        <v>0</v>
      </c>
      <c r="I405" s="66">
        <f t="shared" si="97"/>
        <v>0</v>
      </c>
      <c r="J405" s="66">
        <f t="shared" si="97"/>
        <v>0</v>
      </c>
      <c r="K405" s="61">
        <f t="shared" si="97"/>
        <v>0</v>
      </c>
      <c r="L405" s="66">
        <f t="shared" si="97"/>
        <v>0</v>
      </c>
      <c r="M405" s="66">
        <f t="shared" si="97"/>
        <v>0</v>
      </c>
      <c r="N405" s="66">
        <f t="shared" si="97"/>
        <v>0</v>
      </c>
      <c r="O405" s="61">
        <f t="shared" si="97"/>
        <v>0</v>
      </c>
      <c r="P405" s="66">
        <f t="shared" si="97"/>
        <v>0</v>
      </c>
      <c r="Q405" s="66">
        <f t="shared" si="97"/>
        <v>0</v>
      </c>
      <c r="R405" s="66">
        <f t="shared" si="97"/>
        <v>0</v>
      </c>
      <c r="S405" s="61">
        <f t="shared" si="97"/>
        <v>0</v>
      </c>
      <c r="T405" s="66">
        <f t="shared" si="97"/>
        <v>10</v>
      </c>
      <c r="U405" s="66">
        <f t="shared" si="97"/>
        <v>2</v>
      </c>
      <c r="V405" s="66">
        <f t="shared" si="97"/>
        <v>0</v>
      </c>
      <c r="W405" s="61">
        <f t="shared" si="97"/>
        <v>12</v>
      </c>
      <c r="X405" s="66">
        <f t="shared" si="97"/>
        <v>0</v>
      </c>
      <c r="Y405" s="66">
        <f t="shared" si="97"/>
        <v>0</v>
      </c>
      <c r="Z405" s="66">
        <f t="shared" si="97"/>
        <v>0</v>
      </c>
      <c r="AA405" s="61">
        <f t="shared" si="97"/>
        <v>0</v>
      </c>
      <c r="AB405" s="66">
        <f t="shared" si="97"/>
        <v>0</v>
      </c>
      <c r="AC405" s="66">
        <f t="shared" si="97"/>
        <v>0</v>
      </c>
      <c r="AD405" s="66">
        <f t="shared" si="97"/>
        <v>0</v>
      </c>
      <c r="AE405" s="61">
        <f t="shared" si="97"/>
        <v>0</v>
      </c>
      <c r="AF405" s="68">
        <f t="shared" si="93"/>
        <v>12</v>
      </c>
    </row>
    <row r="406" spans="1:32" hidden="1" x14ac:dyDescent="0.35">
      <c r="A406" s="111" t="s">
        <v>370</v>
      </c>
      <c r="B406" s="54"/>
      <c r="C406" s="60" t="s">
        <v>225</v>
      </c>
      <c r="D406" s="60"/>
      <c r="E406" s="60"/>
      <c r="F406" s="60"/>
      <c r="G406" s="61">
        <f>SUM(D406:F406)</f>
        <v>0</v>
      </c>
      <c r="H406" s="60"/>
      <c r="I406" s="60"/>
      <c r="J406" s="60"/>
      <c r="K406" s="61">
        <f>SUM(H406:J406)</f>
        <v>0</v>
      </c>
      <c r="L406" s="60"/>
      <c r="M406" s="60"/>
      <c r="N406" s="60"/>
      <c r="O406" s="61">
        <f>SUM(L406:N406)</f>
        <v>0</v>
      </c>
      <c r="P406" s="60"/>
      <c r="Q406" s="60"/>
      <c r="R406" s="60"/>
      <c r="S406" s="61">
        <f>SUM(P406:R406)</f>
        <v>0</v>
      </c>
      <c r="T406" s="60"/>
      <c r="U406" s="60"/>
      <c r="V406" s="60"/>
      <c r="W406" s="61">
        <f>SUM(T406:V406)</f>
        <v>0</v>
      </c>
      <c r="X406" s="60"/>
      <c r="Y406" s="60"/>
      <c r="Z406" s="60"/>
      <c r="AA406" s="61">
        <f>SUM(X406:Z406)</f>
        <v>0</v>
      </c>
      <c r="AB406" s="60"/>
      <c r="AC406" s="60"/>
      <c r="AD406" s="60"/>
      <c r="AE406" s="61">
        <f>SUM(AB406:AD406)</f>
        <v>0</v>
      </c>
      <c r="AF406" s="68">
        <f t="shared" si="93"/>
        <v>0</v>
      </c>
    </row>
    <row r="407" spans="1:32" hidden="1" x14ac:dyDescent="0.35">
      <c r="A407" s="111"/>
      <c r="B407" s="54"/>
      <c r="C407" s="63" t="s">
        <v>227</v>
      </c>
      <c r="D407" s="63"/>
      <c r="E407" s="63"/>
      <c r="F407" s="63"/>
      <c r="G407" s="61">
        <f>SUM(D407:F407)</f>
        <v>0</v>
      </c>
      <c r="H407" s="63"/>
      <c r="I407" s="63"/>
      <c r="J407" s="63"/>
      <c r="K407" s="61">
        <f>SUM(H407:J407)</f>
        <v>0</v>
      </c>
      <c r="L407" s="63"/>
      <c r="M407" s="63"/>
      <c r="N407" s="63"/>
      <c r="O407" s="61">
        <f>SUM(L407:N407)</f>
        <v>0</v>
      </c>
      <c r="P407" s="63"/>
      <c r="Q407" s="63"/>
      <c r="R407" s="63"/>
      <c r="S407" s="61">
        <f>SUM(P407:R407)</f>
        <v>0</v>
      </c>
      <c r="T407" s="63"/>
      <c r="U407" s="63"/>
      <c r="V407" s="63"/>
      <c r="W407" s="61">
        <f>SUM(T407:V407)</f>
        <v>0</v>
      </c>
      <c r="X407" s="63"/>
      <c r="Y407" s="63"/>
      <c r="Z407" s="63"/>
      <c r="AA407" s="61">
        <f>SUM(X407:Z407)</f>
        <v>0</v>
      </c>
      <c r="AB407" s="63"/>
      <c r="AC407" s="63"/>
      <c r="AD407" s="63"/>
      <c r="AE407" s="61">
        <f>SUM(AB407:AD407)</f>
        <v>0</v>
      </c>
      <c r="AF407" s="68">
        <f t="shared" si="93"/>
        <v>0</v>
      </c>
    </row>
    <row r="408" spans="1:32" hidden="1" x14ac:dyDescent="0.35">
      <c r="A408" s="111"/>
      <c r="B408" s="54"/>
      <c r="C408" s="60" t="s">
        <v>228</v>
      </c>
      <c r="D408" s="60"/>
      <c r="E408" s="60"/>
      <c r="F408" s="60"/>
      <c r="G408" s="61">
        <f>SUM(D408:F408)</f>
        <v>0</v>
      </c>
      <c r="H408" s="60"/>
      <c r="I408" s="60"/>
      <c r="J408" s="60"/>
      <c r="K408" s="61">
        <f>SUM(H408:J408)</f>
        <v>0</v>
      </c>
      <c r="L408" s="60"/>
      <c r="M408" s="60"/>
      <c r="N408" s="60"/>
      <c r="O408" s="61">
        <f>SUM(L408:N408)</f>
        <v>0</v>
      </c>
      <c r="P408" s="60"/>
      <c r="Q408" s="60"/>
      <c r="R408" s="60"/>
      <c r="S408" s="61">
        <f>SUM(P408:R408)</f>
        <v>0</v>
      </c>
      <c r="T408" s="60"/>
      <c r="U408" s="60"/>
      <c r="V408" s="60"/>
      <c r="W408" s="61">
        <f>SUM(T408:V408)</f>
        <v>0</v>
      </c>
      <c r="X408" s="60"/>
      <c r="Y408" s="60"/>
      <c r="Z408" s="60"/>
      <c r="AA408" s="61">
        <f>SUM(X408:Z408)</f>
        <v>0</v>
      </c>
      <c r="AB408" s="60"/>
      <c r="AC408" s="60"/>
      <c r="AD408" s="60"/>
      <c r="AE408" s="61">
        <f>SUM(AB408:AD408)</f>
        <v>0</v>
      </c>
      <c r="AF408" s="68">
        <f t="shared" si="93"/>
        <v>0</v>
      </c>
    </row>
    <row r="409" spans="1:32" hidden="1" x14ac:dyDescent="0.35">
      <c r="A409" s="111"/>
      <c r="B409" s="54"/>
      <c r="C409" s="63" t="s">
        <v>235</v>
      </c>
      <c r="D409" s="63"/>
      <c r="E409" s="63"/>
      <c r="F409" s="63"/>
      <c r="G409" s="61">
        <f>SUM(D409:F409)</f>
        <v>0</v>
      </c>
      <c r="H409" s="63"/>
      <c r="I409" s="63"/>
      <c r="J409" s="63"/>
      <c r="K409" s="61">
        <f>SUM(H409:J409)</f>
        <v>0</v>
      </c>
      <c r="L409" s="63"/>
      <c r="M409" s="63"/>
      <c r="N409" s="63"/>
      <c r="O409" s="61">
        <f>SUM(L409:N409)</f>
        <v>0</v>
      </c>
      <c r="P409" s="63"/>
      <c r="Q409" s="63"/>
      <c r="R409" s="63"/>
      <c r="S409" s="61">
        <f>SUM(P409:R409)</f>
        <v>0</v>
      </c>
      <c r="T409" s="63"/>
      <c r="U409" s="63"/>
      <c r="V409" s="63"/>
      <c r="W409" s="61">
        <f>SUM(T409:V409)</f>
        <v>0</v>
      </c>
      <c r="X409" s="63"/>
      <c r="Y409" s="63"/>
      <c r="Z409" s="63"/>
      <c r="AA409" s="61">
        <f>SUM(X409:Z409)</f>
        <v>0</v>
      </c>
      <c r="AB409" s="63"/>
      <c r="AC409" s="63"/>
      <c r="AD409" s="63"/>
      <c r="AE409" s="61">
        <f>SUM(AB409:AD409)</f>
        <v>0</v>
      </c>
      <c r="AF409" s="68">
        <f t="shared" si="93"/>
        <v>0</v>
      </c>
    </row>
    <row r="410" spans="1:32" hidden="1" x14ac:dyDescent="0.35">
      <c r="A410" s="76" t="s">
        <v>371</v>
      </c>
      <c r="B410" s="67"/>
      <c r="C410" s="66"/>
      <c r="D410" s="66">
        <f t="shared" ref="D410:AE410" si="98">SUM(D406:D409)</f>
        <v>0</v>
      </c>
      <c r="E410" s="66">
        <f t="shared" si="98"/>
        <v>0</v>
      </c>
      <c r="F410" s="66">
        <f t="shared" si="98"/>
        <v>0</v>
      </c>
      <c r="G410" s="61">
        <f t="shared" si="98"/>
        <v>0</v>
      </c>
      <c r="H410" s="66">
        <f t="shared" si="98"/>
        <v>0</v>
      </c>
      <c r="I410" s="66">
        <f t="shared" si="98"/>
        <v>0</v>
      </c>
      <c r="J410" s="66">
        <f t="shared" si="98"/>
        <v>0</v>
      </c>
      <c r="K410" s="61">
        <f t="shared" si="98"/>
        <v>0</v>
      </c>
      <c r="L410" s="66">
        <f t="shared" si="98"/>
        <v>0</v>
      </c>
      <c r="M410" s="66">
        <f t="shared" si="98"/>
        <v>0</v>
      </c>
      <c r="N410" s="66">
        <f t="shared" si="98"/>
        <v>0</v>
      </c>
      <c r="O410" s="61">
        <f t="shared" si="98"/>
        <v>0</v>
      </c>
      <c r="P410" s="66">
        <f t="shared" si="98"/>
        <v>0</v>
      </c>
      <c r="Q410" s="66">
        <f t="shared" si="98"/>
        <v>0</v>
      </c>
      <c r="R410" s="66">
        <f t="shared" si="98"/>
        <v>0</v>
      </c>
      <c r="S410" s="61">
        <f t="shared" si="98"/>
        <v>0</v>
      </c>
      <c r="T410" s="66">
        <f t="shared" si="98"/>
        <v>0</v>
      </c>
      <c r="U410" s="66">
        <f t="shared" si="98"/>
        <v>0</v>
      </c>
      <c r="V410" s="66">
        <f t="shared" si="98"/>
        <v>0</v>
      </c>
      <c r="W410" s="61">
        <f t="shared" si="98"/>
        <v>0</v>
      </c>
      <c r="X410" s="66">
        <f t="shared" si="98"/>
        <v>0</v>
      </c>
      <c r="Y410" s="66">
        <f t="shared" si="98"/>
        <v>0</v>
      </c>
      <c r="Z410" s="66">
        <f t="shared" si="98"/>
        <v>0</v>
      </c>
      <c r="AA410" s="61">
        <f t="shared" si="98"/>
        <v>0</v>
      </c>
      <c r="AB410" s="66">
        <f t="shared" si="98"/>
        <v>0</v>
      </c>
      <c r="AC410" s="66">
        <f t="shared" si="98"/>
        <v>0</v>
      </c>
      <c r="AD410" s="66">
        <f t="shared" si="98"/>
        <v>0</v>
      </c>
      <c r="AE410" s="61">
        <f t="shared" si="98"/>
        <v>0</v>
      </c>
      <c r="AF410" s="68">
        <f t="shared" si="93"/>
        <v>0</v>
      </c>
    </row>
    <row r="411" spans="1:32" hidden="1" x14ac:dyDescent="0.35">
      <c r="A411" s="111" t="s">
        <v>372</v>
      </c>
      <c r="B411" s="54"/>
      <c r="C411" s="60" t="s">
        <v>225</v>
      </c>
      <c r="D411" s="60">
        <v>4</v>
      </c>
      <c r="E411" s="60">
        <v>1</v>
      </c>
      <c r="F411" s="60"/>
      <c r="G411" s="61">
        <f>SUM(D411:F411)</f>
        <v>5</v>
      </c>
      <c r="H411" s="60">
        <v>3</v>
      </c>
      <c r="I411" s="60">
        <v>1</v>
      </c>
      <c r="J411" s="60"/>
      <c r="K411" s="61">
        <f>SUM(H411:J411)</f>
        <v>4</v>
      </c>
      <c r="L411" s="60">
        <v>4</v>
      </c>
      <c r="M411" s="60"/>
      <c r="N411" s="60"/>
      <c r="O411" s="61">
        <f>SUM(L411:N411)</f>
        <v>4</v>
      </c>
      <c r="P411" s="60">
        <v>3</v>
      </c>
      <c r="Q411" s="60"/>
      <c r="R411" s="60"/>
      <c r="S411" s="61">
        <f>SUM(P411:R411)</f>
        <v>3</v>
      </c>
      <c r="T411" s="60">
        <v>4</v>
      </c>
      <c r="U411" s="60">
        <v>3</v>
      </c>
      <c r="V411" s="60"/>
      <c r="W411" s="61">
        <f>SUM(T411:V411)</f>
        <v>7</v>
      </c>
      <c r="X411" s="60">
        <v>1</v>
      </c>
      <c r="Y411" s="60"/>
      <c r="Z411" s="60">
        <v>1</v>
      </c>
      <c r="AA411" s="61">
        <f>SUM(X411:Z411)</f>
        <v>2</v>
      </c>
      <c r="AB411" s="60"/>
      <c r="AC411" s="60"/>
      <c r="AD411" s="60"/>
      <c r="AE411" s="61">
        <f>SUM(AB411:AD411)</f>
        <v>0</v>
      </c>
      <c r="AF411" s="68">
        <f t="shared" si="93"/>
        <v>25</v>
      </c>
    </row>
    <row r="412" spans="1:32" hidden="1" x14ac:dyDescent="0.35">
      <c r="A412" s="111"/>
      <c r="B412" s="54"/>
      <c r="C412" s="63" t="s">
        <v>227</v>
      </c>
      <c r="D412" s="63">
        <v>1</v>
      </c>
      <c r="E412" s="63"/>
      <c r="F412" s="63"/>
      <c r="G412" s="61">
        <f>SUM(D412:F412)</f>
        <v>1</v>
      </c>
      <c r="H412" s="63">
        <v>2</v>
      </c>
      <c r="I412" s="63"/>
      <c r="J412" s="63"/>
      <c r="K412" s="61">
        <f>SUM(H412:J412)</f>
        <v>2</v>
      </c>
      <c r="L412" s="63">
        <v>2</v>
      </c>
      <c r="M412" s="63"/>
      <c r="N412" s="63"/>
      <c r="O412" s="61">
        <f>SUM(L412:N412)</f>
        <v>2</v>
      </c>
      <c r="P412" s="63">
        <v>1</v>
      </c>
      <c r="Q412" s="63"/>
      <c r="R412" s="63"/>
      <c r="S412" s="61">
        <f>SUM(P412:R412)</f>
        <v>1</v>
      </c>
      <c r="T412" s="63">
        <v>10</v>
      </c>
      <c r="U412" s="63">
        <v>3</v>
      </c>
      <c r="V412" s="63"/>
      <c r="W412" s="61">
        <f>SUM(T412:V412)</f>
        <v>13</v>
      </c>
      <c r="X412" s="63"/>
      <c r="Y412" s="63"/>
      <c r="Z412" s="63"/>
      <c r="AA412" s="61">
        <f>SUM(X412:Z412)</f>
        <v>0</v>
      </c>
      <c r="AB412" s="63"/>
      <c r="AC412" s="63"/>
      <c r="AD412" s="63"/>
      <c r="AE412" s="61">
        <f>SUM(AB412:AD412)</f>
        <v>0</v>
      </c>
      <c r="AF412" s="68">
        <f t="shared" si="93"/>
        <v>19</v>
      </c>
    </row>
    <row r="413" spans="1:32" hidden="1" x14ac:dyDescent="0.35">
      <c r="A413" s="111"/>
      <c r="B413" s="54"/>
      <c r="C413" s="60" t="s">
        <v>228</v>
      </c>
      <c r="D413" s="60">
        <v>1</v>
      </c>
      <c r="E413" s="60"/>
      <c r="F413" s="60"/>
      <c r="G413" s="61">
        <f>SUM(D413:F413)</f>
        <v>1</v>
      </c>
      <c r="H413" s="60">
        <v>1</v>
      </c>
      <c r="I413" s="60">
        <v>1</v>
      </c>
      <c r="J413" s="60"/>
      <c r="K413" s="61">
        <f>SUM(H413:J413)</f>
        <v>2</v>
      </c>
      <c r="L413" s="60"/>
      <c r="M413" s="60"/>
      <c r="N413" s="60"/>
      <c r="O413" s="61">
        <f>SUM(L413:N413)</f>
        <v>0</v>
      </c>
      <c r="P413" s="60"/>
      <c r="Q413" s="60"/>
      <c r="R413" s="60"/>
      <c r="S413" s="61">
        <f>SUM(P413:R413)</f>
        <v>0</v>
      </c>
      <c r="T413" s="60">
        <v>3</v>
      </c>
      <c r="U413" s="60"/>
      <c r="V413" s="60"/>
      <c r="W413" s="61">
        <f>SUM(T413:V413)</f>
        <v>3</v>
      </c>
      <c r="X413" s="60"/>
      <c r="Y413" s="60"/>
      <c r="Z413" s="60"/>
      <c r="AA413" s="61">
        <f>SUM(X413:Z413)</f>
        <v>0</v>
      </c>
      <c r="AB413" s="60"/>
      <c r="AC413" s="60"/>
      <c r="AD413" s="60"/>
      <c r="AE413" s="61">
        <f>SUM(AB413:AD413)</f>
        <v>0</v>
      </c>
      <c r="AF413" s="68">
        <f t="shared" si="93"/>
        <v>6</v>
      </c>
    </row>
    <row r="414" spans="1:32" hidden="1" x14ac:dyDescent="0.35">
      <c r="A414" s="111"/>
      <c r="B414" s="54"/>
      <c r="C414" s="63" t="s">
        <v>235</v>
      </c>
      <c r="D414" s="63">
        <v>3</v>
      </c>
      <c r="E414" s="63">
        <v>1</v>
      </c>
      <c r="F414" s="63"/>
      <c r="G414" s="61">
        <f>SUM(D414:F414)</f>
        <v>4</v>
      </c>
      <c r="H414" s="63">
        <v>2</v>
      </c>
      <c r="I414" s="63"/>
      <c r="J414" s="63"/>
      <c r="K414" s="61">
        <f>SUM(H414:J414)</f>
        <v>2</v>
      </c>
      <c r="L414" s="63"/>
      <c r="M414" s="63"/>
      <c r="N414" s="63"/>
      <c r="O414" s="61">
        <f>SUM(L414:N414)</f>
        <v>0</v>
      </c>
      <c r="P414" s="63">
        <v>2</v>
      </c>
      <c r="Q414" s="63"/>
      <c r="R414" s="63"/>
      <c r="S414" s="61">
        <f>SUM(P414:R414)</f>
        <v>2</v>
      </c>
      <c r="T414" s="63">
        <v>6</v>
      </c>
      <c r="U414" s="63">
        <v>1</v>
      </c>
      <c r="V414" s="63"/>
      <c r="W414" s="61">
        <f>SUM(T414:V414)</f>
        <v>7</v>
      </c>
      <c r="X414" s="63">
        <v>2</v>
      </c>
      <c r="Y414" s="63"/>
      <c r="Z414" s="63"/>
      <c r="AA414" s="61">
        <f>SUM(X414:Z414)</f>
        <v>2</v>
      </c>
      <c r="AB414" s="63"/>
      <c r="AC414" s="63"/>
      <c r="AD414" s="63"/>
      <c r="AE414" s="61">
        <f>SUM(AB414:AD414)</f>
        <v>0</v>
      </c>
      <c r="AF414" s="68">
        <f t="shared" si="93"/>
        <v>17</v>
      </c>
    </row>
    <row r="415" spans="1:32" hidden="1" x14ac:dyDescent="0.35">
      <c r="A415" s="76" t="s">
        <v>373</v>
      </c>
      <c r="B415" s="67"/>
      <c r="C415" s="66"/>
      <c r="D415" s="66">
        <f t="shared" ref="D415:AE415" si="99">SUM(D411:D414)</f>
        <v>9</v>
      </c>
      <c r="E415" s="66">
        <f t="shared" si="99"/>
        <v>2</v>
      </c>
      <c r="F415" s="66">
        <f t="shared" si="99"/>
        <v>0</v>
      </c>
      <c r="G415" s="61">
        <f t="shared" si="99"/>
        <v>11</v>
      </c>
      <c r="H415" s="66">
        <f t="shared" si="99"/>
        <v>8</v>
      </c>
      <c r="I415" s="66">
        <f t="shared" si="99"/>
        <v>2</v>
      </c>
      <c r="J415" s="66">
        <f t="shared" si="99"/>
        <v>0</v>
      </c>
      <c r="K415" s="61">
        <f t="shared" si="99"/>
        <v>10</v>
      </c>
      <c r="L415" s="66">
        <f t="shared" si="99"/>
        <v>6</v>
      </c>
      <c r="M415" s="66">
        <f t="shared" si="99"/>
        <v>0</v>
      </c>
      <c r="N415" s="66">
        <f t="shared" si="99"/>
        <v>0</v>
      </c>
      <c r="O415" s="61">
        <f t="shared" si="99"/>
        <v>6</v>
      </c>
      <c r="P415" s="66">
        <f t="shared" si="99"/>
        <v>6</v>
      </c>
      <c r="Q415" s="66">
        <f t="shared" si="99"/>
        <v>0</v>
      </c>
      <c r="R415" s="66">
        <f t="shared" si="99"/>
        <v>0</v>
      </c>
      <c r="S415" s="61">
        <f t="shared" si="99"/>
        <v>6</v>
      </c>
      <c r="T415" s="66">
        <f t="shared" si="99"/>
        <v>23</v>
      </c>
      <c r="U415" s="66">
        <f t="shared" si="99"/>
        <v>7</v>
      </c>
      <c r="V415" s="66">
        <f t="shared" si="99"/>
        <v>0</v>
      </c>
      <c r="W415" s="61">
        <f t="shared" si="99"/>
        <v>30</v>
      </c>
      <c r="X415" s="66">
        <f t="shared" si="99"/>
        <v>3</v>
      </c>
      <c r="Y415" s="66">
        <f t="shared" si="99"/>
        <v>0</v>
      </c>
      <c r="Z415" s="66">
        <f t="shared" si="99"/>
        <v>1</v>
      </c>
      <c r="AA415" s="61">
        <f t="shared" si="99"/>
        <v>4</v>
      </c>
      <c r="AB415" s="66">
        <f t="shared" si="99"/>
        <v>0</v>
      </c>
      <c r="AC415" s="66">
        <f t="shared" si="99"/>
        <v>0</v>
      </c>
      <c r="AD415" s="66">
        <f t="shared" si="99"/>
        <v>0</v>
      </c>
      <c r="AE415" s="61">
        <f t="shared" si="99"/>
        <v>0</v>
      </c>
      <c r="AF415" s="68">
        <f t="shared" si="93"/>
        <v>67</v>
      </c>
    </row>
    <row r="416" spans="1:32" x14ac:dyDescent="0.35">
      <c r="A416" s="66" t="s">
        <v>369</v>
      </c>
      <c r="B416" s="67">
        <v>10</v>
      </c>
      <c r="C416" s="66"/>
      <c r="D416" s="66">
        <f>SUM(D415,D410, D405)</f>
        <v>9</v>
      </c>
      <c r="E416" s="66">
        <f t="shared" ref="E416:AE416" si="100">SUM(E415,E410,E405)</f>
        <v>2</v>
      </c>
      <c r="F416" s="66">
        <f t="shared" si="100"/>
        <v>0</v>
      </c>
      <c r="G416" s="61">
        <f t="shared" si="100"/>
        <v>11</v>
      </c>
      <c r="H416" s="66">
        <f t="shared" si="100"/>
        <v>8</v>
      </c>
      <c r="I416" s="66">
        <f t="shared" si="100"/>
        <v>2</v>
      </c>
      <c r="J416" s="66">
        <f t="shared" si="100"/>
        <v>0</v>
      </c>
      <c r="K416" s="61">
        <f t="shared" si="100"/>
        <v>10</v>
      </c>
      <c r="L416" s="66">
        <f t="shared" si="100"/>
        <v>6</v>
      </c>
      <c r="M416" s="66">
        <f t="shared" si="100"/>
        <v>0</v>
      </c>
      <c r="N416" s="66">
        <f t="shared" si="100"/>
        <v>0</v>
      </c>
      <c r="O416" s="61">
        <f t="shared" si="100"/>
        <v>6</v>
      </c>
      <c r="P416" s="66">
        <f t="shared" si="100"/>
        <v>6</v>
      </c>
      <c r="Q416" s="66">
        <f t="shared" si="100"/>
        <v>0</v>
      </c>
      <c r="R416" s="66">
        <f t="shared" si="100"/>
        <v>0</v>
      </c>
      <c r="S416" s="61">
        <f t="shared" si="100"/>
        <v>6</v>
      </c>
      <c r="T416" s="66">
        <f t="shared" si="100"/>
        <v>33</v>
      </c>
      <c r="U416" s="66">
        <f t="shared" si="100"/>
        <v>9</v>
      </c>
      <c r="V416" s="66">
        <f t="shared" si="100"/>
        <v>0</v>
      </c>
      <c r="W416" s="61">
        <f t="shared" si="100"/>
        <v>42</v>
      </c>
      <c r="X416" s="66">
        <f t="shared" si="100"/>
        <v>3</v>
      </c>
      <c r="Y416" s="66">
        <f t="shared" si="100"/>
        <v>0</v>
      </c>
      <c r="Z416" s="66">
        <f t="shared" si="100"/>
        <v>1</v>
      </c>
      <c r="AA416" s="61">
        <f t="shared" si="100"/>
        <v>4</v>
      </c>
      <c r="AB416" s="66">
        <f t="shared" si="100"/>
        <v>0</v>
      </c>
      <c r="AC416" s="66">
        <f t="shared" si="100"/>
        <v>0</v>
      </c>
      <c r="AD416" s="66">
        <f t="shared" si="100"/>
        <v>0</v>
      </c>
      <c r="AE416" s="61">
        <f t="shared" si="100"/>
        <v>0</v>
      </c>
      <c r="AF416" s="68">
        <f t="shared" si="93"/>
        <v>79</v>
      </c>
    </row>
    <row r="417" spans="1:32" hidden="1" x14ac:dyDescent="0.35">
      <c r="A417" s="59" t="s">
        <v>374</v>
      </c>
      <c r="B417" s="54" t="s">
        <v>368</v>
      </c>
      <c r="C417" s="60" t="s">
        <v>225</v>
      </c>
      <c r="D417" s="60"/>
      <c r="E417" s="60"/>
      <c r="F417" s="60"/>
      <c r="G417" s="61">
        <f>SUM(D417:F417)</f>
        <v>0</v>
      </c>
      <c r="H417" s="60"/>
      <c r="I417" s="60"/>
      <c r="J417" s="60"/>
      <c r="K417" s="61">
        <f>SUM(H417:J417)</f>
        <v>0</v>
      </c>
      <c r="L417" s="60"/>
      <c r="M417" s="60"/>
      <c r="N417" s="60"/>
      <c r="O417" s="61">
        <f>SUM(L417:N417)</f>
        <v>0</v>
      </c>
      <c r="P417" s="60"/>
      <c r="Q417" s="60"/>
      <c r="R417" s="60"/>
      <c r="S417" s="61">
        <f>SUM(P417:R417)</f>
        <v>0</v>
      </c>
      <c r="T417" s="60"/>
      <c r="U417" s="60"/>
      <c r="V417" s="60"/>
      <c r="W417" s="61">
        <f>SUM(T417:V417)</f>
        <v>0</v>
      </c>
      <c r="X417" s="60"/>
      <c r="Y417" s="60"/>
      <c r="Z417" s="60"/>
      <c r="AA417" s="61">
        <f>SUM(X417:Z417)</f>
        <v>0</v>
      </c>
      <c r="AB417" s="60"/>
      <c r="AC417" s="60"/>
      <c r="AD417" s="60"/>
      <c r="AE417" s="61">
        <f>SUM(AB417:AD417)</f>
        <v>0</v>
      </c>
      <c r="AF417" s="68">
        <f t="shared" si="93"/>
        <v>0</v>
      </c>
    </row>
    <row r="418" spans="1:32" hidden="1" x14ac:dyDescent="0.35">
      <c r="A418" s="111" t="s">
        <v>254</v>
      </c>
      <c r="B418" s="54"/>
      <c r="C418" s="63" t="s">
        <v>227</v>
      </c>
      <c r="D418" s="63"/>
      <c r="E418" s="63"/>
      <c r="F418" s="63"/>
      <c r="G418" s="61">
        <f>SUM(D418:F418)</f>
        <v>0</v>
      </c>
      <c r="H418" s="63"/>
      <c r="I418" s="63"/>
      <c r="J418" s="63"/>
      <c r="K418" s="61">
        <f>SUM(H418:J418)</f>
        <v>0</v>
      </c>
      <c r="L418" s="63"/>
      <c r="M418" s="63"/>
      <c r="N418" s="63"/>
      <c r="O418" s="61">
        <f>SUM(L418:N418)</f>
        <v>0</v>
      </c>
      <c r="P418" s="63"/>
      <c r="Q418" s="63"/>
      <c r="R418" s="63"/>
      <c r="S418" s="61">
        <f>SUM(P418:R418)</f>
        <v>0</v>
      </c>
      <c r="T418" s="63"/>
      <c r="U418" s="63"/>
      <c r="V418" s="63"/>
      <c r="W418" s="61">
        <f>SUM(T418:V418)</f>
        <v>0</v>
      </c>
      <c r="X418" s="63"/>
      <c r="Y418" s="63"/>
      <c r="Z418" s="63"/>
      <c r="AA418" s="61">
        <f>SUM(X418:Z418)</f>
        <v>0</v>
      </c>
      <c r="AB418" s="63"/>
      <c r="AC418" s="63"/>
      <c r="AD418" s="63"/>
      <c r="AE418" s="61">
        <f>SUM(AB418:AD418)</f>
        <v>0</v>
      </c>
      <c r="AF418" s="68">
        <f t="shared" si="93"/>
        <v>0</v>
      </c>
    </row>
    <row r="419" spans="1:32" hidden="1" x14ac:dyDescent="0.35">
      <c r="A419" s="111"/>
      <c r="B419" s="54"/>
      <c r="C419" s="60" t="s">
        <v>228</v>
      </c>
      <c r="D419" s="60"/>
      <c r="E419" s="60"/>
      <c r="F419" s="60"/>
      <c r="G419" s="61">
        <f>SUM(D419:F419)</f>
        <v>0</v>
      </c>
      <c r="H419" s="60"/>
      <c r="I419" s="60"/>
      <c r="J419" s="60"/>
      <c r="K419" s="61">
        <f>SUM(H419:J419)</f>
        <v>0</v>
      </c>
      <c r="L419" s="60"/>
      <c r="M419" s="60"/>
      <c r="N419" s="60"/>
      <c r="O419" s="61">
        <f>SUM(L419:N419)</f>
        <v>0</v>
      </c>
      <c r="P419" s="60"/>
      <c r="Q419" s="60"/>
      <c r="R419" s="60"/>
      <c r="S419" s="61">
        <f>SUM(P419:R419)</f>
        <v>0</v>
      </c>
      <c r="T419" s="60"/>
      <c r="U419" s="60"/>
      <c r="V419" s="60"/>
      <c r="W419" s="61">
        <f>SUM(T419:V419)</f>
        <v>0</v>
      </c>
      <c r="X419" s="60"/>
      <c r="Y419" s="60"/>
      <c r="Z419" s="60"/>
      <c r="AA419" s="61">
        <f>SUM(X419:Z419)</f>
        <v>0</v>
      </c>
      <c r="AB419" s="60"/>
      <c r="AC419" s="60"/>
      <c r="AD419" s="60"/>
      <c r="AE419" s="61">
        <f>SUM(AB419:AD419)</f>
        <v>0</v>
      </c>
      <c r="AF419" s="68">
        <f t="shared" si="93"/>
        <v>0</v>
      </c>
    </row>
    <row r="420" spans="1:32" hidden="1" x14ac:dyDescent="0.35">
      <c r="A420" s="111"/>
      <c r="B420" s="54"/>
      <c r="C420" s="63" t="s">
        <v>235</v>
      </c>
      <c r="D420" s="63"/>
      <c r="E420" s="63"/>
      <c r="F420" s="63"/>
      <c r="G420" s="61">
        <f>SUM(D420:F420)</f>
        <v>0</v>
      </c>
      <c r="H420" s="63"/>
      <c r="I420" s="63"/>
      <c r="J420" s="63"/>
      <c r="K420" s="61">
        <f>SUM(H420:J420)</f>
        <v>0</v>
      </c>
      <c r="L420" s="63"/>
      <c r="M420" s="63"/>
      <c r="N420" s="63"/>
      <c r="O420" s="61">
        <f>SUM(L420:N420)</f>
        <v>0</v>
      </c>
      <c r="P420" s="63"/>
      <c r="Q420" s="63"/>
      <c r="R420" s="63"/>
      <c r="S420" s="61">
        <f>SUM(P420:R420)</f>
        <v>0</v>
      </c>
      <c r="T420" s="63"/>
      <c r="U420" s="63"/>
      <c r="V420" s="63"/>
      <c r="W420" s="61">
        <f>SUM(T420:V420)</f>
        <v>0</v>
      </c>
      <c r="X420" s="63"/>
      <c r="Y420" s="63"/>
      <c r="Z420" s="63"/>
      <c r="AA420" s="61">
        <f>SUM(X420:Z420)</f>
        <v>0</v>
      </c>
      <c r="AB420" s="63"/>
      <c r="AC420" s="63"/>
      <c r="AD420" s="63"/>
      <c r="AE420" s="61">
        <f>SUM(AB420:AD420)</f>
        <v>0</v>
      </c>
      <c r="AF420" s="68">
        <f t="shared" si="93"/>
        <v>0</v>
      </c>
    </row>
    <row r="421" spans="1:32" x14ac:dyDescent="0.35">
      <c r="A421" s="66" t="s">
        <v>374</v>
      </c>
      <c r="B421" s="67" t="s">
        <v>368</v>
      </c>
      <c r="C421" s="66"/>
      <c r="D421" s="66">
        <f t="shared" ref="D421:AE421" si="101">SUM(D417:D420)</f>
        <v>0</v>
      </c>
      <c r="E421" s="66">
        <f t="shared" si="101"/>
        <v>0</v>
      </c>
      <c r="F421" s="66">
        <f t="shared" si="101"/>
        <v>0</v>
      </c>
      <c r="G421" s="61">
        <f t="shared" si="101"/>
        <v>0</v>
      </c>
      <c r="H421" s="66">
        <f t="shared" si="101"/>
        <v>0</v>
      </c>
      <c r="I421" s="66">
        <f t="shared" si="101"/>
        <v>0</v>
      </c>
      <c r="J421" s="66">
        <f t="shared" si="101"/>
        <v>0</v>
      </c>
      <c r="K421" s="61">
        <f t="shared" si="101"/>
        <v>0</v>
      </c>
      <c r="L421" s="66">
        <f t="shared" si="101"/>
        <v>0</v>
      </c>
      <c r="M421" s="66">
        <f t="shared" si="101"/>
        <v>0</v>
      </c>
      <c r="N421" s="66">
        <f t="shared" si="101"/>
        <v>0</v>
      </c>
      <c r="O421" s="61">
        <f t="shared" si="101"/>
        <v>0</v>
      </c>
      <c r="P421" s="66">
        <f t="shared" si="101"/>
        <v>0</v>
      </c>
      <c r="Q421" s="66">
        <f t="shared" si="101"/>
        <v>0</v>
      </c>
      <c r="R421" s="66">
        <f t="shared" si="101"/>
        <v>0</v>
      </c>
      <c r="S421" s="61">
        <f t="shared" si="101"/>
        <v>0</v>
      </c>
      <c r="T421" s="66">
        <f t="shared" si="101"/>
        <v>0</v>
      </c>
      <c r="U421" s="66">
        <f t="shared" si="101"/>
        <v>0</v>
      </c>
      <c r="V421" s="66">
        <f t="shared" si="101"/>
        <v>0</v>
      </c>
      <c r="W421" s="61">
        <f t="shared" si="101"/>
        <v>0</v>
      </c>
      <c r="X421" s="66">
        <f t="shared" si="101"/>
        <v>0</v>
      </c>
      <c r="Y421" s="66">
        <f t="shared" si="101"/>
        <v>0</v>
      </c>
      <c r="Z421" s="66">
        <f t="shared" si="101"/>
        <v>0</v>
      </c>
      <c r="AA421" s="61">
        <f t="shared" si="101"/>
        <v>0</v>
      </c>
      <c r="AB421" s="66">
        <f t="shared" si="101"/>
        <v>0</v>
      </c>
      <c r="AC421" s="66">
        <f t="shared" si="101"/>
        <v>0</v>
      </c>
      <c r="AD421" s="66">
        <f t="shared" si="101"/>
        <v>0</v>
      </c>
      <c r="AE421" s="61">
        <f t="shared" si="101"/>
        <v>0</v>
      </c>
      <c r="AF421" s="68">
        <f t="shared" si="93"/>
        <v>0</v>
      </c>
    </row>
    <row r="422" spans="1:32" hidden="1" x14ac:dyDescent="0.35">
      <c r="A422" s="59" t="s">
        <v>375</v>
      </c>
      <c r="B422" s="54">
        <v>8</v>
      </c>
      <c r="C422" s="60" t="s">
        <v>225</v>
      </c>
      <c r="D422" s="60"/>
      <c r="E422" s="60"/>
      <c r="F422" s="60"/>
      <c r="G422" s="61">
        <f>SUM(D422:F422)</f>
        <v>0</v>
      </c>
      <c r="H422" s="60"/>
      <c r="I422" s="60"/>
      <c r="J422" s="60"/>
      <c r="K422" s="61">
        <f>SUM(H422:J422)</f>
        <v>0</v>
      </c>
      <c r="L422" s="60"/>
      <c r="M422" s="60"/>
      <c r="N422" s="60"/>
      <c r="O422" s="61">
        <f>SUM(L422:N422)</f>
        <v>0</v>
      </c>
      <c r="P422" s="60"/>
      <c r="Q422" s="60"/>
      <c r="R422" s="60"/>
      <c r="S422" s="61">
        <f>SUM(P422:R422)</f>
        <v>0</v>
      </c>
      <c r="T422" s="60"/>
      <c r="U422" s="60"/>
      <c r="V422" s="60"/>
      <c r="W422" s="61">
        <f>SUM(T422:V422)</f>
        <v>0</v>
      </c>
      <c r="X422" s="60"/>
      <c r="Y422" s="60"/>
      <c r="Z422" s="60"/>
      <c r="AA422" s="61">
        <f>SUM(X422:Z422)</f>
        <v>0</v>
      </c>
      <c r="AB422" s="60"/>
      <c r="AC422" s="60"/>
      <c r="AD422" s="60"/>
      <c r="AE422" s="61">
        <f>SUM(AB422:AD422)</f>
        <v>0</v>
      </c>
      <c r="AF422" s="68">
        <f t="shared" si="93"/>
        <v>0</v>
      </c>
    </row>
    <row r="423" spans="1:32" hidden="1" x14ac:dyDescent="0.35">
      <c r="A423" s="111" t="s">
        <v>376</v>
      </c>
      <c r="B423" s="54"/>
      <c r="C423" s="63" t="s">
        <v>227</v>
      </c>
      <c r="D423" s="63"/>
      <c r="E423" s="63"/>
      <c r="F423" s="63"/>
      <c r="G423" s="61">
        <f>SUM(D423:F423)</f>
        <v>0</v>
      </c>
      <c r="H423" s="63"/>
      <c r="I423" s="63"/>
      <c r="J423" s="63"/>
      <c r="K423" s="61">
        <f>SUM(H423:J423)</f>
        <v>0</v>
      </c>
      <c r="L423" s="63"/>
      <c r="M423" s="63"/>
      <c r="N423" s="63"/>
      <c r="O423" s="61">
        <f>SUM(L423:N423)</f>
        <v>0</v>
      </c>
      <c r="P423" s="63"/>
      <c r="Q423" s="63"/>
      <c r="R423" s="63"/>
      <c r="S423" s="61">
        <f>SUM(P423:R423)</f>
        <v>0</v>
      </c>
      <c r="T423" s="63"/>
      <c r="U423" s="63"/>
      <c r="V423" s="63"/>
      <c r="W423" s="61">
        <f>SUM(T423:V423)</f>
        <v>0</v>
      </c>
      <c r="X423" s="63"/>
      <c r="Y423" s="63"/>
      <c r="Z423" s="63"/>
      <c r="AA423" s="61">
        <f>SUM(X423:Z423)</f>
        <v>0</v>
      </c>
      <c r="AB423" s="63"/>
      <c r="AC423" s="63"/>
      <c r="AD423" s="63"/>
      <c r="AE423" s="61">
        <f>SUM(AB423:AD423)</f>
        <v>0</v>
      </c>
      <c r="AF423" s="68">
        <f t="shared" si="93"/>
        <v>0</v>
      </c>
    </row>
    <row r="424" spans="1:32" hidden="1" x14ac:dyDescent="0.35">
      <c r="A424" s="111"/>
      <c r="B424" s="54"/>
      <c r="C424" s="60" t="s">
        <v>228</v>
      </c>
      <c r="D424" s="60"/>
      <c r="E424" s="60"/>
      <c r="F424" s="60"/>
      <c r="G424" s="61">
        <f>SUM(D424:F424)</f>
        <v>0</v>
      </c>
      <c r="H424" s="60"/>
      <c r="I424" s="60"/>
      <c r="J424" s="60"/>
      <c r="K424" s="61">
        <f>SUM(H424:J424)</f>
        <v>0</v>
      </c>
      <c r="L424" s="60"/>
      <c r="M424" s="60"/>
      <c r="N424" s="60"/>
      <c r="O424" s="61">
        <f>SUM(L424:N424)</f>
        <v>0</v>
      </c>
      <c r="P424" s="60"/>
      <c r="Q424" s="60"/>
      <c r="R424" s="60"/>
      <c r="S424" s="61">
        <f>SUM(P424:R424)</f>
        <v>0</v>
      </c>
      <c r="T424" s="60"/>
      <c r="U424" s="60"/>
      <c r="V424" s="60"/>
      <c r="W424" s="61">
        <f>SUM(T424:V424)</f>
        <v>0</v>
      </c>
      <c r="X424" s="60"/>
      <c r="Y424" s="60"/>
      <c r="Z424" s="60"/>
      <c r="AA424" s="61">
        <f>SUM(X424:Z424)</f>
        <v>0</v>
      </c>
      <c r="AB424" s="60"/>
      <c r="AC424" s="60"/>
      <c r="AD424" s="60"/>
      <c r="AE424" s="61">
        <f>SUM(AB424:AD424)</f>
        <v>0</v>
      </c>
      <c r="AF424" s="68">
        <f t="shared" ref="AF424:AF455" si="102">SUM(G424,K424,O424,S424,W424,AA424,AE424)</f>
        <v>0</v>
      </c>
    </row>
    <row r="425" spans="1:32" hidden="1" x14ac:dyDescent="0.35">
      <c r="A425" s="111"/>
      <c r="B425" s="54"/>
      <c r="C425" s="63" t="s">
        <v>235</v>
      </c>
      <c r="D425" s="63"/>
      <c r="E425" s="63"/>
      <c r="F425" s="63"/>
      <c r="G425" s="61">
        <f>SUM(D425:F425)</f>
        <v>0</v>
      </c>
      <c r="H425" s="63"/>
      <c r="I425" s="63"/>
      <c r="J425" s="63"/>
      <c r="K425" s="61">
        <f>SUM(H425:J425)</f>
        <v>0</v>
      </c>
      <c r="L425" s="63"/>
      <c r="M425" s="63"/>
      <c r="N425" s="63"/>
      <c r="O425" s="61">
        <f>SUM(L425:N425)</f>
        <v>0</v>
      </c>
      <c r="P425" s="63"/>
      <c r="Q425" s="63"/>
      <c r="R425" s="63"/>
      <c r="S425" s="61">
        <f>SUM(P425:R425)</f>
        <v>0</v>
      </c>
      <c r="T425" s="63"/>
      <c r="U425" s="63"/>
      <c r="V425" s="63"/>
      <c r="W425" s="61">
        <f>SUM(T425:V425)</f>
        <v>0</v>
      </c>
      <c r="X425" s="63"/>
      <c r="Y425" s="63"/>
      <c r="Z425" s="63"/>
      <c r="AA425" s="61">
        <f>SUM(X425:Z425)</f>
        <v>0</v>
      </c>
      <c r="AB425" s="63"/>
      <c r="AC425" s="63"/>
      <c r="AD425" s="63"/>
      <c r="AE425" s="61">
        <f>SUM(AB425:AD425)</f>
        <v>0</v>
      </c>
      <c r="AF425" s="68">
        <f t="shared" si="102"/>
        <v>0</v>
      </c>
    </row>
    <row r="426" spans="1:32" x14ac:dyDescent="0.35">
      <c r="A426" s="66" t="s">
        <v>375</v>
      </c>
      <c r="B426" s="67">
        <v>8</v>
      </c>
      <c r="C426" s="66"/>
      <c r="D426" s="66">
        <f t="shared" ref="D426:AE426" si="103">SUM(D422:D425)</f>
        <v>0</v>
      </c>
      <c r="E426" s="66">
        <f t="shared" si="103"/>
        <v>0</v>
      </c>
      <c r="F426" s="66">
        <f t="shared" si="103"/>
        <v>0</v>
      </c>
      <c r="G426" s="61">
        <f t="shared" si="103"/>
        <v>0</v>
      </c>
      <c r="H426" s="66">
        <f t="shared" si="103"/>
        <v>0</v>
      </c>
      <c r="I426" s="66">
        <f t="shared" si="103"/>
        <v>0</v>
      </c>
      <c r="J426" s="66">
        <f t="shared" si="103"/>
        <v>0</v>
      </c>
      <c r="K426" s="61">
        <f t="shared" si="103"/>
        <v>0</v>
      </c>
      <c r="L426" s="66">
        <f t="shared" si="103"/>
        <v>0</v>
      </c>
      <c r="M426" s="66">
        <f t="shared" si="103"/>
        <v>0</v>
      </c>
      <c r="N426" s="66">
        <f t="shared" si="103"/>
        <v>0</v>
      </c>
      <c r="O426" s="61">
        <f t="shared" si="103"/>
        <v>0</v>
      </c>
      <c r="P426" s="66">
        <f t="shared" si="103"/>
        <v>0</v>
      </c>
      <c r="Q426" s="66">
        <f t="shared" si="103"/>
        <v>0</v>
      </c>
      <c r="R426" s="66">
        <f t="shared" si="103"/>
        <v>0</v>
      </c>
      <c r="S426" s="61">
        <f t="shared" si="103"/>
        <v>0</v>
      </c>
      <c r="T426" s="66">
        <f t="shared" si="103"/>
        <v>0</v>
      </c>
      <c r="U426" s="66">
        <f t="shared" si="103"/>
        <v>0</v>
      </c>
      <c r="V426" s="66">
        <f t="shared" si="103"/>
        <v>0</v>
      </c>
      <c r="W426" s="61">
        <f t="shared" si="103"/>
        <v>0</v>
      </c>
      <c r="X426" s="66">
        <f t="shared" si="103"/>
        <v>0</v>
      </c>
      <c r="Y426" s="66">
        <f t="shared" si="103"/>
        <v>0</v>
      </c>
      <c r="Z426" s="66">
        <f t="shared" si="103"/>
        <v>0</v>
      </c>
      <c r="AA426" s="61">
        <f t="shared" si="103"/>
        <v>0</v>
      </c>
      <c r="AB426" s="66">
        <f t="shared" si="103"/>
        <v>0</v>
      </c>
      <c r="AC426" s="66">
        <f t="shared" si="103"/>
        <v>0</v>
      </c>
      <c r="AD426" s="66">
        <f t="shared" si="103"/>
        <v>0</v>
      </c>
      <c r="AE426" s="61">
        <f t="shared" si="103"/>
        <v>0</v>
      </c>
      <c r="AF426" s="68">
        <f t="shared" si="102"/>
        <v>0</v>
      </c>
    </row>
    <row r="427" spans="1:32" hidden="1" x14ac:dyDescent="0.35">
      <c r="A427" s="59" t="s">
        <v>377</v>
      </c>
      <c r="B427" s="54">
        <v>23</v>
      </c>
      <c r="C427" s="60" t="s">
        <v>225</v>
      </c>
      <c r="D427" s="60"/>
      <c r="E427" s="60"/>
      <c r="F427" s="60"/>
      <c r="G427" s="61">
        <f>SUM(D427:F427)</f>
        <v>0</v>
      </c>
      <c r="H427" s="60"/>
      <c r="I427" s="60"/>
      <c r="J427" s="60"/>
      <c r="K427" s="61">
        <f>SUM(H427:J427)</f>
        <v>0</v>
      </c>
      <c r="L427" s="60"/>
      <c r="M427" s="60"/>
      <c r="N427" s="60"/>
      <c r="O427" s="61">
        <f>SUM(L427:N427)</f>
        <v>0</v>
      </c>
      <c r="P427" s="60"/>
      <c r="Q427" s="60"/>
      <c r="R427" s="60"/>
      <c r="S427" s="61">
        <f>SUM(P427:R427)</f>
        <v>0</v>
      </c>
      <c r="T427" s="60"/>
      <c r="U427" s="60"/>
      <c r="V427" s="60"/>
      <c r="W427" s="61">
        <f>SUM(T427:V427)</f>
        <v>0</v>
      </c>
      <c r="X427" s="60"/>
      <c r="Y427" s="60"/>
      <c r="Z427" s="60"/>
      <c r="AA427" s="61">
        <f>SUM(X427:Z427)</f>
        <v>0</v>
      </c>
      <c r="AB427" s="60"/>
      <c r="AC427" s="60"/>
      <c r="AD427" s="60"/>
      <c r="AE427" s="61">
        <f>SUM(AB427:AD427)</f>
        <v>0</v>
      </c>
      <c r="AF427" s="68">
        <f t="shared" si="102"/>
        <v>0</v>
      </c>
    </row>
    <row r="428" spans="1:32" hidden="1" x14ac:dyDescent="0.35">
      <c r="A428" s="111" t="s">
        <v>245</v>
      </c>
      <c r="B428" s="54"/>
      <c r="C428" s="63" t="s">
        <v>227</v>
      </c>
      <c r="D428" s="63"/>
      <c r="E428" s="63"/>
      <c r="F428" s="63"/>
      <c r="G428" s="61">
        <f>SUM(D428:F428)</f>
        <v>0</v>
      </c>
      <c r="H428" s="63"/>
      <c r="I428" s="63"/>
      <c r="J428" s="63"/>
      <c r="K428" s="61">
        <f>SUM(H428:J428)</f>
        <v>0</v>
      </c>
      <c r="L428" s="63"/>
      <c r="M428" s="63"/>
      <c r="N428" s="63"/>
      <c r="O428" s="61">
        <f>SUM(L428:N428)</f>
        <v>0</v>
      </c>
      <c r="P428" s="63"/>
      <c r="Q428" s="63"/>
      <c r="R428" s="63"/>
      <c r="S428" s="61">
        <f>SUM(P428:R428)</f>
        <v>0</v>
      </c>
      <c r="T428" s="63"/>
      <c r="U428" s="63"/>
      <c r="V428" s="63"/>
      <c r="W428" s="61">
        <f>SUM(T428:V428)</f>
        <v>0</v>
      </c>
      <c r="X428" s="63"/>
      <c r="Y428" s="63"/>
      <c r="Z428" s="63"/>
      <c r="AA428" s="61">
        <f>SUM(X428:Z428)</f>
        <v>0</v>
      </c>
      <c r="AB428" s="63"/>
      <c r="AC428" s="63"/>
      <c r="AD428" s="63"/>
      <c r="AE428" s="61">
        <f>SUM(AB428:AD428)</f>
        <v>0</v>
      </c>
      <c r="AF428" s="68">
        <f t="shared" si="102"/>
        <v>0</v>
      </c>
    </row>
    <row r="429" spans="1:32" hidden="1" x14ac:dyDescent="0.35">
      <c r="A429" s="111"/>
      <c r="B429" s="54"/>
      <c r="C429" s="60" t="s">
        <v>228</v>
      </c>
      <c r="D429" s="60"/>
      <c r="E429" s="60"/>
      <c r="F429" s="60"/>
      <c r="G429" s="61">
        <f>SUM(D429:F429)</f>
        <v>0</v>
      </c>
      <c r="H429" s="60"/>
      <c r="I429" s="60"/>
      <c r="J429" s="60"/>
      <c r="K429" s="61">
        <f>SUM(H429:J429)</f>
        <v>0</v>
      </c>
      <c r="L429" s="60"/>
      <c r="M429" s="60"/>
      <c r="N429" s="60"/>
      <c r="O429" s="61">
        <f>SUM(L429:N429)</f>
        <v>0</v>
      </c>
      <c r="P429" s="60"/>
      <c r="Q429" s="60"/>
      <c r="R429" s="60"/>
      <c r="S429" s="61">
        <f>SUM(P429:R429)</f>
        <v>0</v>
      </c>
      <c r="T429" s="60"/>
      <c r="U429" s="60"/>
      <c r="V429" s="60"/>
      <c r="W429" s="61">
        <f>SUM(T429:V429)</f>
        <v>0</v>
      </c>
      <c r="X429" s="60"/>
      <c r="Y429" s="60"/>
      <c r="Z429" s="60"/>
      <c r="AA429" s="61">
        <f>SUM(X429:Z429)</f>
        <v>0</v>
      </c>
      <c r="AB429" s="60"/>
      <c r="AC429" s="60"/>
      <c r="AD429" s="60"/>
      <c r="AE429" s="61">
        <f>SUM(AB429:AD429)</f>
        <v>0</v>
      </c>
      <c r="AF429" s="68">
        <f t="shared" si="102"/>
        <v>0</v>
      </c>
    </row>
    <row r="430" spans="1:32" hidden="1" x14ac:dyDescent="0.35">
      <c r="A430" s="111"/>
      <c r="B430" s="54"/>
      <c r="C430" s="63" t="s">
        <v>235</v>
      </c>
      <c r="D430" s="63"/>
      <c r="E430" s="63"/>
      <c r="F430" s="63"/>
      <c r="G430" s="61">
        <f>SUM(D430:F430)</f>
        <v>0</v>
      </c>
      <c r="H430" s="63"/>
      <c r="I430" s="63"/>
      <c r="J430" s="63"/>
      <c r="K430" s="61">
        <f>SUM(H430:J430)</f>
        <v>0</v>
      </c>
      <c r="L430" s="63"/>
      <c r="M430" s="63"/>
      <c r="N430" s="63"/>
      <c r="O430" s="61">
        <f>SUM(L430:N430)</f>
        <v>0</v>
      </c>
      <c r="P430" s="63"/>
      <c r="Q430" s="63"/>
      <c r="R430" s="63"/>
      <c r="S430" s="61">
        <f>SUM(P430:R430)</f>
        <v>0</v>
      </c>
      <c r="T430" s="63"/>
      <c r="U430" s="63"/>
      <c r="V430" s="63"/>
      <c r="W430" s="61">
        <f>SUM(T430:V430)</f>
        <v>0</v>
      </c>
      <c r="X430" s="63"/>
      <c r="Y430" s="63"/>
      <c r="Z430" s="63"/>
      <c r="AA430" s="61">
        <f>SUM(X430:Z430)</f>
        <v>0</v>
      </c>
      <c r="AB430" s="63"/>
      <c r="AC430" s="63"/>
      <c r="AD430" s="63"/>
      <c r="AE430" s="61">
        <f>SUM(AB430:AD430)</f>
        <v>0</v>
      </c>
      <c r="AF430" s="68">
        <f t="shared" si="102"/>
        <v>0</v>
      </c>
    </row>
    <row r="431" spans="1:32" x14ac:dyDescent="0.35">
      <c r="A431" s="66" t="s">
        <v>377</v>
      </c>
      <c r="B431" s="67">
        <v>23</v>
      </c>
      <c r="C431" s="66"/>
      <c r="D431" s="66">
        <f t="shared" ref="D431:AE431" si="104">SUM(D427:D430)</f>
        <v>0</v>
      </c>
      <c r="E431" s="66">
        <f t="shared" si="104"/>
        <v>0</v>
      </c>
      <c r="F431" s="66">
        <f t="shared" si="104"/>
        <v>0</v>
      </c>
      <c r="G431" s="61">
        <f t="shared" si="104"/>
        <v>0</v>
      </c>
      <c r="H431" s="66">
        <f t="shared" si="104"/>
        <v>0</v>
      </c>
      <c r="I431" s="66">
        <f t="shared" si="104"/>
        <v>0</v>
      </c>
      <c r="J431" s="66">
        <f t="shared" si="104"/>
        <v>0</v>
      </c>
      <c r="K431" s="61">
        <f t="shared" si="104"/>
        <v>0</v>
      </c>
      <c r="L431" s="66">
        <f t="shared" si="104"/>
        <v>0</v>
      </c>
      <c r="M431" s="66">
        <f t="shared" si="104"/>
        <v>0</v>
      </c>
      <c r="N431" s="66">
        <f t="shared" si="104"/>
        <v>0</v>
      </c>
      <c r="O431" s="61">
        <f t="shared" si="104"/>
        <v>0</v>
      </c>
      <c r="P431" s="66">
        <f t="shared" si="104"/>
        <v>0</v>
      </c>
      <c r="Q431" s="66">
        <f t="shared" si="104"/>
        <v>0</v>
      </c>
      <c r="R431" s="66">
        <f t="shared" si="104"/>
        <v>0</v>
      </c>
      <c r="S431" s="61">
        <f t="shared" si="104"/>
        <v>0</v>
      </c>
      <c r="T431" s="66">
        <f t="shared" si="104"/>
        <v>0</v>
      </c>
      <c r="U431" s="66">
        <f t="shared" si="104"/>
        <v>0</v>
      </c>
      <c r="V431" s="66">
        <f t="shared" si="104"/>
        <v>0</v>
      </c>
      <c r="W431" s="61">
        <f t="shared" si="104"/>
        <v>0</v>
      </c>
      <c r="X431" s="66">
        <f t="shared" si="104"/>
        <v>0</v>
      </c>
      <c r="Y431" s="66">
        <f t="shared" si="104"/>
        <v>0</v>
      </c>
      <c r="Z431" s="66">
        <f t="shared" si="104"/>
        <v>0</v>
      </c>
      <c r="AA431" s="61">
        <f t="shared" si="104"/>
        <v>0</v>
      </c>
      <c r="AB431" s="66">
        <f t="shared" si="104"/>
        <v>0</v>
      </c>
      <c r="AC431" s="66">
        <f t="shared" si="104"/>
        <v>0</v>
      </c>
      <c r="AD431" s="66">
        <f t="shared" si="104"/>
        <v>0</v>
      </c>
      <c r="AE431" s="61">
        <f t="shared" si="104"/>
        <v>0</v>
      </c>
      <c r="AF431" s="68">
        <f t="shared" si="102"/>
        <v>0</v>
      </c>
    </row>
    <row r="432" spans="1:32" hidden="1" x14ac:dyDescent="0.35">
      <c r="A432" s="59" t="s">
        <v>378</v>
      </c>
      <c r="B432" s="54">
        <v>7</v>
      </c>
      <c r="C432" s="60" t="s">
        <v>225</v>
      </c>
      <c r="D432" s="60"/>
      <c r="E432" s="60"/>
      <c r="F432" s="60"/>
      <c r="G432" s="61">
        <f>SUM(D432:F432)</f>
        <v>0</v>
      </c>
      <c r="H432" s="60"/>
      <c r="I432" s="60"/>
      <c r="J432" s="60"/>
      <c r="K432" s="61">
        <f>SUM(H432:J432)</f>
        <v>0</v>
      </c>
      <c r="L432" s="60"/>
      <c r="M432" s="60"/>
      <c r="N432" s="60"/>
      <c r="O432" s="61">
        <f>SUM(L432:N432)</f>
        <v>0</v>
      </c>
      <c r="P432" s="60"/>
      <c r="Q432" s="60"/>
      <c r="R432" s="60"/>
      <c r="S432" s="61">
        <f>SUM(P432:R432)</f>
        <v>0</v>
      </c>
      <c r="T432" s="60"/>
      <c r="U432" s="60"/>
      <c r="V432" s="60"/>
      <c r="W432" s="61">
        <f>SUM(T432:V432)</f>
        <v>0</v>
      </c>
      <c r="X432" s="60"/>
      <c r="Y432" s="60"/>
      <c r="Z432" s="60"/>
      <c r="AA432" s="61">
        <f>SUM(X432:Z432)</f>
        <v>0</v>
      </c>
      <c r="AB432" s="60"/>
      <c r="AC432" s="60"/>
      <c r="AD432" s="60"/>
      <c r="AE432" s="61">
        <f>SUM(AB432:AD432)</f>
        <v>0</v>
      </c>
      <c r="AF432" s="68">
        <f t="shared" si="102"/>
        <v>0</v>
      </c>
    </row>
    <row r="433" spans="1:32" hidden="1" x14ac:dyDescent="0.35">
      <c r="A433" s="111" t="s">
        <v>284</v>
      </c>
      <c r="B433" s="54"/>
      <c r="C433" s="63" t="s">
        <v>227</v>
      </c>
      <c r="D433" s="63"/>
      <c r="E433" s="63"/>
      <c r="F433" s="63"/>
      <c r="G433" s="61">
        <f>SUM(D433:F433)</f>
        <v>0</v>
      </c>
      <c r="H433" s="63"/>
      <c r="I433" s="63"/>
      <c r="J433" s="63"/>
      <c r="K433" s="61">
        <f>SUM(H433:J433)</f>
        <v>0</v>
      </c>
      <c r="L433" s="63"/>
      <c r="M433" s="63"/>
      <c r="N433" s="63"/>
      <c r="O433" s="61">
        <f>SUM(L433:N433)</f>
        <v>0</v>
      </c>
      <c r="P433" s="63"/>
      <c r="Q433" s="63"/>
      <c r="R433" s="63"/>
      <c r="S433" s="61">
        <f>SUM(P433:R433)</f>
        <v>0</v>
      </c>
      <c r="T433" s="63"/>
      <c r="U433" s="63"/>
      <c r="V433" s="63"/>
      <c r="W433" s="61">
        <f>SUM(T433:V433)</f>
        <v>0</v>
      </c>
      <c r="X433" s="63"/>
      <c r="Y433" s="63"/>
      <c r="Z433" s="63"/>
      <c r="AA433" s="61">
        <f>SUM(X433:Z433)</f>
        <v>0</v>
      </c>
      <c r="AB433" s="63"/>
      <c r="AC433" s="63"/>
      <c r="AD433" s="63"/>
      <c r="AE433" s="61">
        <f>SUM(AB433:AD433)</f>
        <v>0</v>
      </c>
      <c r="AF433" s="68">
        <f t="shared" si="102"/>
        <v>0</v>
      </c>
    </row>
    <row r="434" spans="1:32" hidden="1" x14ac:dyDescent="0.35">
      <c r="A434" s="111"/>
      <c r="B434" s="54"/>
      <c r="C434" s="60" t="s">
        <v>228</v>
      </c>
      <c r="D434" s="60"/>
      <c r="E434" s="60"/>
      <c r="F434" s="60"/>
      <c r="G434" s="61">
        <f>SUM(D434:F434)</f>
        <v>0</v>
      </c>
      <c r="H434" s="60"/>
      <c r="I434" s="60"/>
      <c r="J434" s="60"/>
      <c r="K434" s="61">
        <f>SUM(H434:J434)</f>
        <v>0</v>
      </c>
      <c r="L434" s="60"/>
      <c r="M434" s="60"/>
      <c r="N434" s="60"/>
      <c r="O434" s="61">
        <f>SUM(L434:N434)</f>
        <v>0</v>
      </c>
      <c r="P434" s="60"/>
      <c r="Q434" s="60"/>
      <c r="R434" s="60"/>
      <c r="S434" s="61">
        <f>SUM(P434:R434)</f>
        <v>0</v>
      </c>
      <c r="T434" s="60"/>
      <c r="U434" s="60"/>
      <c r="V434" s="60"/>
      <c r="W434" s="61">
        <f>SUM(T434:V434)</f>
        <v>0</v>
      </c>
      <c r="X434" s="60"/>
      <c r="Y434" s="60"/>
      <c r="Z434" s="60"/>
      <c r="AA434" s="61">
        <f>SUM(X434:Z434)</f>
        <v>0</v>
      </c>
      <c r="AB434" s="60"/>
      <c r="AC434" s="60"/>
      <c r="AD434" s="60"/>
      <c r="AE434" s="61">
        <f>SUM(AB434:AD434)</f>
        <v>0</v>
      </c>
      <c r="AF434" s="68">
        <f t="shared" si="102"/>
        <v>0</v>
      </c>
    </row>
    <row r="435" spans="1:32" hidden="1" x14ac:dyDescent="0.35">
      <c r="A435" s="111"/>
      <c r="B435" s="54"/>
      <c r="C435" s="63" t="s">
        <v>235</v>
      </c>
      <c r="D435" s="63"/>
      <c r="E435" s="63"/>
      <c r="F435" s="63"/>
      <c r="G435" s="61">
        <f>SUM(D435:F435)</f>
        <v>0</v>
      </c>
      <c r="H435" s="63"/>
      <c r="I435" s="63"/>
      <c r="J435" s="63"/>
      <c r="K435" s="61">
        <f>SUM(H435:J435)</f>
        <v>0</v>
      </c>
      <c r="L435" s="63"/>
      <c r="M435" s="63"/>
      <c r="N435" s="63"/>
      <c r="O435" s="61">
        <f>SUM(L435:N435)</f>
        <v>0</v>
      </c>
      <c r="P435" s="63"/>
      <c r="Q435" s="63"/>
      <c r="R435" s="63"/>
      <c r="S435" s="61">
        <f>SUM(P435:R435)</f>
        <v>0</v>
      </c>
      <c r="T435" s="63"/>
      <c r="U435" s="63"/>
      <c r="V435" s="63"/>
      <c r="W435" s="61">
        <f>SUM(T435:V435)</f>
        <v>0</v>
      </c>
      <c r="X435" s="63"/>
      <c r="Y435" s="63"/>
      <c r="Z435" s="63"/>
      <c r="AA435" s="61">
        <f>SUM(X435:Z435)</f>
        <v>0</v>
      </c>
      <c r="AB435" s="63"/>
      <c r="AC435" s="63"/>
      <c r="AD435" s="63"/>
      <c r="AE435" s="61">
        <f>SUM(AB435:AD435)</f>
        <v>0</v>
      </c>
      <c r="AF435" s="68">
        <f t="shared" si="102"/>
        <v>0</v>
      </c>
    </row>
    <row r="436" spans="1:32" x14ac:dyDescent="0.35">
      <c r="A436" s="66" t="s">
        <v>378</v>
      </c>
      <c r="B436" s="67">
        <v>7</v>
      </c>
      <c r="C436" s="66"/>
      <c r="D436" s="66">
        <f t="shared" ref="D436:AE436" si="105">SUM(D432:D435)</f>
        <v>0</v>
      </c>
      <c r="E436" s="66">
        <f t="shared" si="105"/>
        <v>0</v>
      </c>
      <c r="F436" s="66">
        <f t="shared" si="105"/>
        <v>0</v>
      </c>
      <c r="G436" s="61">
        <f t="shared" si="105"/>
        <v>0</v>
      </c>
      <c r="H436" s="66">
        <f t="shared" si="105"/>
        <v>0</v>
      </c>
      <c r="I436" s="66">
        <f t="shared" si="105"/>
        <v>0</v>
      </c>
      <c r="J436" s="66">
        <f t="shared" si="105"/>
        <v>0</v>
      </c>
      <c r="K436" s="61">
        <f t="shared" si="105"/>
        <v>0</v>
      </c>
      <c r="L436" s="66">
        <f t="shared" si="105"/>
        <v>0</v>
      </c>
      <c r="M436" s="66">
        <f t="shared" si="105"/>
        <v>0</v>
      </c>
      <c r="N436" s="66">
        <f t="shared" si="105"/>
        <v>0</v>
      </c>
      <c r="O436" s="61">
        <f t="shared" si="105"/>
        <v>0</v>
      </c>
      <c r="P436" s="66">
        <f t="shared" si="105"/>
        <v>0</v>
      </c>
      <c r="Q436" s="66">
        <f t="shared" si="105"/>
        <v>0</v>
      </c>
      <c r="R436" s="66">
        <f t="shared" si="105"/>
        <v>0</v>
      </c>
      <c r="S436" s="61">
        <f t="shared" si="105"/>
        <v>0</v>
      </c>
      <c r="T436" s="66">
        <f t="shared" si="105"/>
        <v>0</v>
      </c>
      <c r="U436" s="66">
        <f t="shared" si="105"/>
        <v>0</v>
      </c>
      <c r="V436" s="66">
        <f t="shared" si="105"/>
        <v>0</v>
      </c>
      <c r="W436" s="61">
        <f t="shared" si="105"/>
        <v>0</v>
      </c>
      <c r="X436" s="66">
        <f t="shared" si="105"/>
        <v>0</v>
      </c>
      <c r="Y436" s="66">
        <f t="shared" si="105"/>
        <v>0</v>
      </c>
      <c r="Z436" s="66">
        <f t="shared" si="105"/>
        <v>0</v>
      </c>
      <c r="AA436" s="61">
        <f t="shared" si="105"/>
        <v>0</v>
      </c>
      <c r="AB436" s="66">
        <f t="shared" si="105"/>
        <v>0</v>
      </c>
      <c r="AC436" s="66">
        <f t="shared" si="105"/>
        <v>0</v>
      </c>
      <c r="AD436" s="66">
        <f t="shared" si="105"/>
        <v>0</v>
      </c>
      <c r="AE436" s="61">
        <f t="shared" si="105"/>
        <v>0</v>
      </c>
      <c r="AF436" s="68">
        <f t="shared" si="102"/>
        <v>0</v>
      </c>
    </row>
    <row r="437" spans="1:32" hidden="1" x14ac:dyDescent="0.35">
      <c r="A437" s="59" t="s">
        <v>379</v>
      </c>
      <c r="B437" s="54">
        <v>23</v>
      </c>
      <c r="C437" s="60" t="s">
        <v>225</v>
      </c>
      <c r="D437" s="60"/>
      <c r="E437" s="60"/>
      <c r="F437" s="60"/>
      <c r="G437" s="61">
        <f>SUM(D437:F437)</f>
        <v>0</v>
      </c>
      <c r="H437" s="60"/>
      <c r="I437" s="60"/>
      <c r="J437" s="60"/>
      <c r="K437" s="61">
        <f>SUM(H437:J437)</f>
        <v>0</v>
      </c>
      <c r="L437" s="60"/>
      <c r="M437" s="60"/>
      <c r="N437" s="60"/>
      <c r="O437" s="61">
        <f>SUM(L437:N437)</f>
        <v>0</v>
      </c>
      <c r="P437" s="60"/>
      <c r="Q437" s="60"/>
      <c r="R437" s="60"/>
      <c r="S437" s="61">
        <f>SUM(P437:R437)</f>
        <v>0</v>
      </c>
      <c r="T437" s="60"/>
      <c r="U437" s="60"/>
      <c r="V437" s="60"/>
      <c r="W437" s="61">
        <f>SUM(T437:V437)</f>
        <v>0</v>
      </c>
      <c r="X437" s="60"/>
      <c r="Y437" s="60"/>
      <c r="Z437" s="60"/>
      <c r="AA437" s="61">
        <f>SUM(X437:Z437)</f>
        <v>0</v>
      </c>
      <c r="AB437" s="60"/>
      <c r="AC437" s="60"/>
      <c r="AD437" s="60"/>
      <c r="AE437" s="61">
        <f>SUM(AB437:AD437)</f>
        <v>0</v>
      </c>
      <c r="AF437" s="68">
        <f t="shared" si="102"/>
        <v>0</v>
      </c>
    </row>
    <row r="438" spans="1:32" hidden="1" x14ac:dyDescent="0.35">
      <c r="A438" s="111" t="s">
        <v>380</v>
      </c>
      <c r="B438" s="54"/>
      <c r="C438" s="63" t="s">
        <v>227</v>
      </c>
      <c r="D438" s="63"/>
      <c r="E438" s="63"/>
      <c r="F438" s="63"/>
      <c r="G438" s="61">
        <f>SUM(D438:F438)</f>
        <v>0</v>
      </c>
      <c r="H438" s="63"/>
      <c r="I438" s="63"/>
      <c r="J438" s="63"/>
      <c r="K438" s="61">
        <f>SUM(H438:J438)</f>
        <v>0</v>
      </c>
      <c r="L438" s="63"/>
      <c r="M438" s="63"/>
      <c r="N438" s="63"/>
      <c r="O438" s="61">
        <f>SUM(L438:N438)</f>
        <v>0</v>
      </c>
      <c r="P438" s="63"/>
      <c r="Q438" s="63"/>
      <c r="R438" s="63"/>
      <c r="S438" s="61">
        <f>SUM(P438:R438)</f>
        <v>0</v>
      </c>
      <c r="T438" s="63"/>
      <c r="U438" s="63"/>
      <c r="V438" s="63"/>
      <c r="W438" s="61">
        <f>SUM(T438:V438)</f>
        <v>0</v>
      </c>
      <c r="X438" s="63"/>
      <c r="Y438" s="63"/>
      <c r="Z438" s="63"/>
      <c r="AA438" s="61">
        <f>SUM(X438:Z438)</f>
        <v>0</v>
      </c>
      <c r="AB438" s="63"/>
      <c r="AC438" s="63"/>
      <c r="AD438" s="63"/>
      <c r="AE438" s="61">
        <f>SUM(AB438:AD438)</f>
        <v>0</v>
      </c>
      <c r="AF438" s="68">
        <f t="shared" si="102"/>
        <v>0</v>
      </c>
    </row>
    <row r="439" spans="1:32" hidden="1" x14ac:dyDescent="0.35">
      <c r="A439" s="111"/>
      <c r="B439" s="54"/>
      <c r="C439" s="60" t="s">
        <v>228</v>
      </c>
      <c r="D439" s="60"/>
      <c r="E439" s="60"/>
      <c r="F439" s="60"/>
      <c r="G439" s="61">
        <f>SUM(D439:F439)</f>
        <v>0</v>
      </c>
      <c r="H439" s="60"/>
      <c r="I439" s="60"/>
      <c r="J439" s="60"/>
      <c r="K439" s="61">
        <f>SUM(H439:J439)</f>
        <v>0</v>
      </c>
      <c r="L439" s="60"/>
      <c r="M439" s="60"/>
      <c r="N439" s="60"/>
      <c r="O439" s="61">
        <f>SUM(L439:N439)</f>
        <v>0</v>
      </c>
      <c r="P439" s="60"/>
      <c r="Q439" s="60"/>
      <c r="R439" s="60"/>
      <c r="S439" s="61">
        <f>SUM(P439:R439)</f>
        <v>0</v>
      </c>
      <c r="T439" s="60"/>
      <c r="U439" s="60"/>
      <c r="V439" s="60"/>
      <c r="W439" s="61">
        <f>SUM(T439:V439)</f>
        <v>0</v>
      </c>
      <c r="X439" s="60"/>
      <c r="Y439" s="60"/>
      <c r="Z439" s="60"/>
      <c r="AA439" s="61">
        <f>SUM(X439:Z439)</f>
        <v>0</v>
      </c>
      <c r="AB439" s="60"/>
      <c r="AC439" s="60"/>
      <c r="AD439" s="60"/>
      <c r="AE439" s="61">
        <f>SUM(AB439:AD439)</f>
        <v>0</v>
      </c>
      <c r="AF439" s="68">
        <f t="shared" si="102"/>
        <v>0</v>
      </c>
    </row>
    <row r="440" spans="1:32" hidden="1" x14ac:dyDescent="0.35">
      <c r="A440" s="111"/>
      <c r="B440" s="54"/>
      <c r="C440" s="63" t="s">
        <v>235</v>
      </c>
      <c r="D440" s="63"/>
      <c r="E440" s="63"/>
      <c r="F440" s="63"/>
      <c r="G440" s="61">
        <f>SUM(D440:F440)</f>
        <v>0</v>
      </c>
      <c r="H440" s="63"/>
      <c r="I440" s="63"/>
      <c r="J440" s="63"/>
      <c r="K440" s="61">
        <f>SUM(H440:J440)</f>
        <v>0</v>
      </c>
      <c r="L440" s="63"/>
      <c r="M440" s="63"/>
      <c r="N440" s="63"/>
      <c r="O440" s="61">
        <f>SUM(L440:N440)</f>
        <v>0</v>
      </c>
      <c r="P440" s="63"/>
      <c r="Q440" s="63"/>
      <c r="R440" s="63"/>
      <c r="S440" s="61">
        <f>SUM(P440:R440)</f>
        <v>0</v>
      </c>
      <c r="T440" s="63"/>
      <c r="U440" s="63"/>
      <c r="V440" s="63"/>
      <c r="W440" s="61">
        <f>SUM(T440:V440)</f>
        <v>0</v>
      </c>
      <c r="X440" s="63"/>
      <c r="Y440" s="63"/>
      <c r="Z440" s="63"/>
      <c r="AA440" s="61">
        <f>SUM(X440:Z440)</f>
        <v>0</v>
      </c>
      <c r="AB440" s="63"/>
      <c r="AC440" s="63"/>
      <c r="AD440" s="63"/>
      <c r="AE440" s="61">
        <f>SUM(AB440:AD440)</f>
        <v>0</v>
      </c>
      <c r="AF440" s="68">
        <f t="shared" si="102"/>
        <v>0</v>
      </c>
    </row>
    <row r="441" spans="1:32" x14ac:dyDescent="0.35">
      <c r="A441" s="66" t="s">
        <v>379</v>
      </c>
      <c r="B441" s="67">
        <v>23</v>
      </c>
      <c r="C441" s="66"/>
      <c r="D441" s="66">
        <f t="shared" ref="D441:AE441" si="106">SUM(D437:D440)</f>
        <v>0</v>
      </c>
      <c r="E441" s="66">
        <f t="shared" si="106"/>
        <v>0</v>
      </c>
      <c r="F441" s="66">
        <f t="shared" si="106"/>
        <v>0</v>
      </c>
      <c r="G441" s="61">
        <f t="shared" si="106"/>
        <v>0</v>
      </c>
      <c r="H441" s="66">
        <f t="shared" si="106"/>
        <v>0</v>
      </c>
      <c r="I441" s="66">
        <f t="shared" si="106"/>
        <v>0</v>
      </c>
      <c r="J441" s="66">
        <f t="shared" si="106"/>
        <v>0</v>
      </c>
      <c r="K441" s="61">
        <f t="shared" si="106"/>
        <v>0</v>
      </c>
      <c r="L441" s="66">
        <f t="shared" si="106"/>
        <v>0</v>
      </c>
      <c r="M441" s="66">
        <f t="shared" si="106"/>
        <v>0</v>
      </c>
      <c r="N441" s="66">
        <f t="shared" si="106"/>
        <v>0</v>
      </c>
      <c r="O441" s="61">
        <f t="shared" si="106"/>
        <v>0</v>
      </c>
      <c r="P441" s="66">
        <f t="shared" si="106"/>
        <v>0</v>
      </c>
      <c r="Q441" s="66">
        <f t="shared" si="106"/>
        <v>0</v>
      </c>
      <c r="R441" s="66">
        <f t="shared" si="106"/>
        <v>0</v>
      </c>
      <c r="S441" s="61">
        <f t="shared" si="106"/>
        <v>0</v>
      </c>
      <c r="T441" s="66">
        <f t="shared" si="106"/>
        <v>0</v>
      </c>
      <c r="U441" s="66">
        <f t="shared" si="106"/>
        <v>0</v>
      </c>
      <c r="V441" s="66">
        <f t="shared" si="106"/>
        <v>0</v>
      </c>
      <c r="W441" s="61">
        <f t="shared" si="106"/>
        <v>0</v>
      </c>
      <c r="X441" s="66">
        <f t="shared" si="106"/>
        <v>0</v>
      </c>
      <c r="Y441" s="66">
        <f t="shared" si="106"/>
        <v>0</v>
      </c>
      <c r="Z441" s="66">
        <f t="shared" si="106"/>
        <v>0</v>
      </c>
      <c r="AA441" s="61">
        <f t="shared" si="106"/>
        <v>0</v>
      </c>
      <c r="AB441" s="66">
        <f t="shared" si="106"/>
        <v>0</v>
      </c>
      <c r="AC441" s="66">
        <f t="shared" si="106"/>
        <v>0</v>
      </c>
      <c r="AD441" s="66">
        <f t="shared" si="106"/>
        <v>0</v>
      </c>
      <c r="AE441" s="61">
        <f t="shared" si="106"/>
        <v>0</v>
      </c>
      <c r="AF441" s="68">
        <f t="shared" si="102"/>
        <v>0</v>
      </c>
    </row>
    <row r="442" spans="1:32" hidden="1" x14ac:dyDescent="0.35">
      <c r="A442" s="59" t="s">
        <v>381</v>
      </c>
      <c r="B442" s="54">
        <v>24</v>
      </c>
      <c r="C442" s="60" t="s">
        <v>225</v>
      </c>
      <c r="D442" s="60"/>
      <c r="E442" s="60"/>
      <c r="F442" s="60"/>
      <c r="G442" s="61">
        <f>SUM(D442:F442)</f>
        <v>0</v>
      </c>
      <c r="H442" s="60"/>
      <c r="I442" s="60"/>
      <c r="J442" s="60"/>
      <c r="K442" s="61">
        <f>SUM(H442:J442)</f>
        <v>0</v>
      </c>
      <c r="L442" s="60"/>
      <c r="M442" s="60"/>
      <c r="N442" s="60"/>
      <c r="O442" s="61">
        <f>SUM(L442:N442)</f>
        <v>0</v>
      </c>
      <c r="P442" s="60"/>
      <c r="Q442" s="60"/>
      <c r="R442" s="60"/>
      <c r="S442" s="61">
        <f>SUM(P442:R442)</f>
        <v>0</v>
      </c>
      <c r="T442" s="60"/>
      <c r="U442" s="60"/>
      <c r="V442" s="60"/>
      <c r="W442" s="61">
        <f>SUM(T442:V442)</f>
        <v>0</v>
      </c>
      <c r="X442" s="60"/>
      <c r="Y442" s="60"/>
      <c r="Z442" s="60"/>
      <c r="AA442" s="61">
        <f>SUM(X442:Z442)</f>
        <v>0</v>
      </c>
      <c r="AB442" s="60"/>
      <c r="AC442" s="60"/>
      <c r="AD442" s="60"/>
      <c r="AE442" s="61">
        <f>SUM(AB442:AD442)</f>
        <v>0</v>
      </c>
      <c r="AF442" s="68">
        <f t="shared" si="102"/>
        <v>0</v>
      </c>
    </row>
    <row r="443" spans="1:32" hidden="1" x14ac:dyDescent="0.35">
      <c r="A443" s="111" t="s">
        <v>318</v>
      </c>
      <c r="B443" s="54"/>
      <c r="C443" s="63" t="s">
        <v>227</v>
      </c>
      <c r="D443" s="63"/>
      <c r="E443" s="63"/>
      <c r="F443" s="63"/>
      <c r="G443" s="61">
        <f>SUM(D443:F443)</f>
        <v>0</v>
      </c>
      <c r="H443" s="63"/>
      <c r="I443" s="63"/>
      <c r="J443" s="63"/>
      <c r="K443" s="61">
        <f>SUM(H443:J443)</f>
        <v>0</v>
      </c>
      <c r="L443" s="63"/>
      <c r="M443" s="63"/>
      <c r="N443" s="63"/>
      <c r="O443" s="61">
        <f>SUM(L443:N443)</f>
        <v>0</v>
      </c>
      <c r="P443" s="63"/>
      <c r="Q443" s="63"/>
      <c r="R443" s="63"/>
      <c r="S443" s="61">
        <f>SUM(P443:R443)</f>
        <v>0</v>
      </c>
      <c r="T443" s="63"/>
      <c r="U443" s="63"/>
      <c r="V443" s="63"/>
      <c r="W443" s="61">
        <f>SUM(T443:V443)</f>
        <v>0</v>
      </c>
      <c r="X443" s="63">
        <v>1</v>
      </c>
      <c r="Y443" s="63"/>
      <c r="Z443" s="63"/>
      <c r="AA443" s="61">
        <f>SUM(X443:Z443)</f>
        <v>1</v>
      </c>
      <c r="AB443" s="63"/>
      <c r="AC443" s="63"/>
      <c r="AD443" s="63"/>
      <c r="AE443" s="61">
        <f>SUM(AB443:AD443)</f>
        <v>0</v>
      </c>
      <c r="AF443" s="68">
        <f t="shared" si="102"/>
        <v>1</v>
      </c>
    </row>
    <row r="444" spans="1:32" hidden="1" x14ac:dyDescent="0.35">
      <c r="A444" s="111"/>
      <c r="B444" s="54"/>
      <c r="C444" s="60" t="s">
        <v>228</v>
      </c>
      <c r="D444" s="60"/>
      <c r="E444" s="60"/>
      <c r="F444" s="60"/>
      <c r="G444" s="61">
        <f>SUM(D444:F444)</f>
        <v>0</v>
      </c>
      <c r="H444" s="60"/>
      <c r="I444" s="60"/>
      <c r="J444" s="60"/>
      <c r="K444" s="61">
        <f>SUM(H444:J444)</f>
        <v>0</v>
      </c>
      <c r="L444" s="60"/>
      <c r="M444" s="60"/>
      <c r="N444" s="60"/>
      <c r="O444" s="61">
        <f>SUM(L444:N444)</f>
        <v>0</v>
      </c>
      <c r="P444" s="60"/>
      <c r="Q444" s="60"/>
      <c r="R444" s="60"/>
      <c r="S444" s="61">
        <f>SUM(P444:R444)</f>
        <v>0</v>
      </c>
      <c r="T444" s="60"/>
      <c r="U444" s="60"/>
      <c r="V444" s="60"/>
      <c r="W444" s="61">
        <f>SUM(T444:V444)</f>
        <v>0</v>
      </c>
      <c r="X444" s="60">
        <v>2</v>
      </c>
      <c r="Y444" s="60"/>
      <c r="Z444" s="60"/>
      <c r="AA444" s="61">
        <f>SUM(X444:Z444)</f>
        <v>2</v>
      </c>
      <c r="AB444" s="60"/>
      <c r="AC444" s="60"/>
      <c r="AD444" s="60"/>
      <c r="AE444" s="61">
        <f>SUM(AB444:AD444)</f>
        <v>0</v>
      </c>
      <c r="AF444" s="68">
        <f t="shared" si="102"/>
        <v>2</v>
      </c>
    </row>
    <row r="445" spans="1:32" hidden="1" x14ac:dyDescent="0.35">
      <c r="A445" s="111"/>
      <c r="B445" s="54"/>
      <c r="C445" s="63" t="s">
        <v>235</v>
      </c>
      <c r="D445" s="63"/>
      <c r="E445" s="63"/>
      <c r="F445" s="63"/>
      <c r="G445" s="61">
        <f>SUM(D445:F445)</f>
        <v>0</v>
      </c>
      <c r="H445" s="63"/>
      <c r="I445" s="63"/>
      <c r="J445" s="63"/>
      <c r="K445" s="61">
        <f>SUM(H445:J445)</f>
        <v>0</v>
      </c>
      <c r="L445" s="63"/>
      <c r="M445" s="63"/>
      <c r="N445" s="63"/>
      <c r="O445" s="61">
        <f>SUM(L445:N445)</f>
        <v>0</v>
      </c>
      <c r="P445" s="63"/>
      <c r="Q445" s="63"/>
      <c r="R445" s="63"/>
      <c r="S445" s="61">
        <f>SUM(P445:R445)</f>
        <v>0</v>
      </c>
      <c r="T445" s="63"/>
      <c r="U445" s="63"/>
      <c r="V445" s="63"/>
      <c r="W445" s="61">
        <f>SUM(T445:V445)</f>
        <v>0</v>
      </c>
      <c r="X445" s="63">
        <v>2</v>
      </c>
      <c r="Y445" s="63"/>
      <c r="Z445" s="63"/>
      <c r="AA445" s="61">
        <f>SUM(X445:Z445)</f>
        <v>2</v>
      </c>
      <c r="AB445" s="63"/>
      <c r="AC445" s="63"/>
      <c r="AD445" s="63"/>
      <c r="AE445" s="61">
        <f>SUM(AB445:AD445)</f>
        <v>0</v>
      </c>
      <c r="AF445" s="68">
        <f t="shared" si="102"/>
        <v>2</v>
      </c>
    </row>
    <row r="446" spans="1:32" x14ac:dyDescent="0.35">
      <c r="A446" s="66" t="s">
        <v>381</v>
      </c>
      <c r="B446" s="67">
        <v>24</v>
      </c>
      <c r="C446" s="66"/>
      <c r="D446" s="66">
        <f t="shared" ref="D446:AE446" si="107">SUM(D442:D445)</f>
        <v>0</v>
      </c>
      <c r="E446" s="66">
        <f t="shared" si="107"/>
        <v>0</v>
      </c>
      <c r="F446" s="66">
        <f t="shared" si="107"/>
        <v>0</v>
      </c>
      <c r="G446" s="61">
        <f t="shared" si="107"/>
        <v>0</v>
      </c>
      <c r="H446" s="66">
        <f t="shared" si="107"/>
        <v>0</v>
      </c>
      <c r="I446" s="66">
        <f t="shared" si="107"/>
        <v>0</v>
      </c>
      <c r="J446" s="66">
        <f t="shared" si="107"/>
        <v>0</v>
      </c>
      <c r="K446" s="61">
        <f t="shared" si="107"/>
        <v>0</v>
      </c>
      <c r="L446" s="66">
        <f t="shared" si="107"/>
        <v>0</v>
      </c>
      <c r="M446" s="66">
        <f t="shared" si="107"/>
        <v>0</v>
      </c>
      <c r="N446" s="66">
        <f t="shared" si="107"/>
        <v>0</v>
      </c>
      <c r="O446" s="61">
        <f t="shared" si="107"/>
        <v>0</v>
      </c>
      <c r="P446" s="66">
        <f t="shared" si="107"/>
        <v>0</v>
      </c>
      <c r="Q446" s="66">
        <f t="shared" si="107"/>
        <v>0</v>
      </c>
      <c r="R446" s="66">
        <f t="shared" si="107"/>
        <v>0</v>
      </c>
      <c r="S446" s="61">
        <f t="shared" si="107"/>
        <v>0</v>
      </c>
      <c r="T446" s="66">
        <f t="shared" si="107"/>
        <v>0</v>
      </c>
      <c r="U446" s="66">
        <f t="shared" si="107"/>
        <v>0</v>
      </c>
      <c r="V446" s="66">
        <f t="shared" si="107"/>
        <v>0</v>
      </c>
      <c r="W446" s="61">
        <f t="shared" si="107"/>
        <v>0</v>
      </c>
      <c r="X446" s="66">
        <f t="shared" si="107"/>
        <v>5</v>
      </c>
      <c r="Y446" s="66">
        <f t="shared" si="107"/>
        <v>0</v>
      </c>
      <c r="Z446" s="66">
        <f t="shared" si="107"/>
        <v>0</v>
      </c>
      <c r="AA446" s="61">
        <f t="shared" si="107"/>
        <v>5</v>
      </c>
      <c r="AB446" s="66">
        <f t="shared" si="107"/>
        <v>0</v>
      </c>
      <c r="AC446" s="66">
        <f t="shared" si="107"/>
        <v>0</v>
      </c>
      <c r="AD446" s="66">
        <f t="shared" si="107"/>
        <v>0</v>
      </c>
      <c r="AE446" s="61">
        <f t="shared" si="107"/>
        <v>0</v>
      </c>
      <c r="AF446" s="68">
        <f t="shared" si="102"/>
        <v>5</v>
      </c>
    </row>
  </sheetData>
  <sheetProtection selectLockedCells="1" selectUnlockedCells="1"/>
  <mergeCells count="95">
    <mergeCell ref="A1:C1"/>
    <mergeCell ref="D1:AE1"/>
    <mergeCell ref="D2:G2"/>
    <mergeCell ref="H2:K2"/>
    <mergeCell ref="L2:O2"/>
    <mergeCell ref="P2:S2"/>
    <mergeCell ref="T2:W2"/>
    <mergeCell ref="X2:AA2"/>
    <mergeCell ref="AB2:AE2"/>
    <mergeCell ref="A78:A79"/>
    <mergeCell ref="A4:C4"/>
    <mergeCell ref="A6:A7"/>
    <mergeCell ref="A11:A12"/>
    <mergeCell ref="A16:A17"/>
    <mergeCell ref="A21:A22"/>
    <mergeCell ref="A31:A32"/>
    <mergeCell ref="A35:A36"/>
    <mergeCell ref="A42:A43"/>
    <mergeCell ref="A46:A47"/>
    <mergeCell ref="A26:A27"/>
    <mergeCell ref="A53:A54"/>
    <mergeCell ref="A58:A59"/>
    <mergeCell ref="A63:A64"/>
    <mergeCell ref="A68:A69"/>
    <mergeCell ref="A73:A74"/>
    <mergeCell ref="A83:A84"/>
    <mergeCell ref="A151:A153"/>
    <mergeCell ref="A93:A95"/>
    <mergeCell ref="A98:A100"/>
    <mergeCell ref="A102:A105"/>
    <mergeCell ref="A109:A111"/>
    <mergeCell ref="A114:A116"/>
    <mergeCell ref="A119:A121"/>
    <mergeCell ref="A123:A126"/>
    <mergeCell ref="A130:A132"/>
    <mergeCell ref="A88:A89"/>
    <mergeCell ref="A135:A137"/>
    <mergeCell ref="A139:A142"/>
    <mergeCell ref="A146:A148"/>
    <mergeCell ref="A212:A214"/>
    <mergeCell ref="A156:A158"/>
    <mergeCell ref="A161:A163"/>
    <mergeCell ref="A166:A168"/>
    <mergeCell ref="A171:A173"/>
    <mergeCell ref="A176:A178"/>
    <mergeCell ref="A181:A183"/>
    <mergeCell ref="A261:A264"/>
    <mergeCell ref="A186:A188"/>
    <mergeCell ref="A191:A193"/>
    <mergeCell ref="A195:A198"/>
    <mergeCell ref="A200:A203"/>
    <mergeCell ref="A207:A209"/>
    <mergeCell ref="A217:A219"/>
    <mergeCell ref="A222:A224"/>
    <mergeCell ref="A227:A229"/>
    <mergeCell ref="A232:A234"/>
    <mergeCell ref="A237:A239"/>
    <mergeCell ref="A242:A244"/>
    <mergeCell ref="A247:A249"/>
    <mergeCell ref="A252:A254"/>
    <mergeCell ref="A257:A259"/>
    <mergeCell ref="A268:A270"/>
    <mergeCell ref="A334:A336"/>
    <mergeCell ref="A279:A281"/>
    <mergeCell ref="A284:A286"/>
    <mergeCell ref="A289:A291"/>
    <mergeCell ref="A294:A296"/>
    <mergeCell ref="A299:A301"/>
    <mergeCell ref="A304:A306"/>
    <mergeCell ref="A309:A311"/>
    <mergeCell ref="A314:A316"/>
    <mergeCell ref="A272:A275"/>
    <mergeCell ref="A319:A321"/>
    <mergeCell ref="A324:A326"/>
    <mergeCell ref="A329:A331"/>
    <mergeCell ref="A402:A404"/>
    <mergeCell ref="A339:A341"/>
    <mergeCell ref="A343:A346"/>
    <mergeCell ref="A350:A352"/>
    <mergeCell ref="A355:A357"/>
    <mergeCell ref="A366:A368"/>
    <mergeCell ref="A371:A373"/>
    <mergeCell ref="A376:A378"/>
    <mergeCell ref="A381:A383"/>
    <mergeCell ref="A386:A388"/>
    <mergeCell ref="A390:A393"/>
    <mergeCell ref="A397:A399"/>
    <mergeCell ref="A443:A445"/>
    <mergeCell ref="A406:A409"/>
    <mergeCell ref="A411:A414"/>
    <mergeCell ref="A418:A420"/>
    <mergeCell ref="A423:A425"/>
    <mergeCell ref="A428:A430"/>
    <mergeCell ref="A433:A435"/>
    <mergeCell ref="A438:A44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1EDA6-14BB-4C38-A28C-D0185D85B447}">
  <dimension ref="A1:S446"/>
  <sheetViews>
    <sheetView zoomScale="70" zoomScaleNormal="70" workbookViewId="0">
      <pane ySplit="4" topLeftCell="A5" activePane="bottomLeft" state="frozen"/>
      <selection pane="bottomLeft" activeCell="V225" sqref="V225"/>
    </sheetView>
  </sheetViews>
  <sheetFormatPr defaultRowHeight="14.5" x14ac:dyDescent="0.35"/>
  <cols>
    <col min="1" max="1" width="32.26953125" customWidth="1"/>
    <col min="2" max="2" width="8.81640625" customWidth="1"/>
    <col min="3" max="3" width="11" customWidth="1"/>
    <col min="4" max="4" width="5.54296875" customWidth="1"/>
    <col min="5" max="5" width="4.453125" customWidth="1"/>
    <col min="6" max="6" width="5.54296875" customWidth="1"/>
    <col min="7" max="7" width="4.81640625" customWidth="1"/>
    <col min="8" max="8" width="5.81640625" customWidth="1"/>
    <col min="9" max="9" width="5.54296875" customWidth="1"/>
    <col min="10" max="10" width="4.453125" customWidth="1"/>
    <col min="11" max="11" width="5.54296875" customWidth="1"/>
    <col min="12" max="12" width="4.81640625" customWidth="1"/>
    <col min="13" max="13" width="6.26953125" customWidth="1"/>
    <col min="14" max="14" width="6.26953125" bestFit="1" customWidth="1"/>
    <col min="15" max="15" width="5" bestFit="1" customWidth="1"/>
    <col min="16" max="16" width="5" customWidth="1"/>
    <col min="17" max="17" width="4.81640625" customWidth="1"/>
    <col min="18" max="18" width="5.81640625" customWidth="1"/>
    <col min="19" max="19" width="8.81640625" customWidth="1"/>
  </cols>
  <sheetData>
    <row r="1" spans="1:19" x14ac:dyDescent="0.35">
      <c r="A1" s="131" t="s">
        <v>206</v>
      </c>
      <c r="B1" s="131"/>
      <c r="C1" s="131"/>
      <c r="D1" s="139" t="s">
        <v>422</v>
      </c>
      <c r="E1" s="140"/>
      <c r="F1" s="140"/>
      <c r="G1" s="140"/>
      <c r="H1" s="140"/>
      <c r="I1" s="140"/>
      <c r="J1" s="140"/>
      <c r="K1" s="140"/>
      <c r="L1" s="140"/>
      <c r="M1" s="140"/>
      <c r="N1" s="140"/>
      <c r="O1" s="140"/>
      <c r="P1" s="140"/>
      <c r="Q1" s="140"/>
      <c r="R1" s="140"/>
    </row>
    <row r="2" spans="1:19" ht="45" customHeight="1" x14ac:dyDescent="0.35">
      <c r="A2" s="89" t="s">
        <v>208</v>
      </c>
      <c r="B2" s="90" t="s">
        <v>209</v>
      </c>
      <c r="C2" s="89" t="s">
        <v>210</v>
      </c>
      <c r="D2" s="132" t="s">
        <v>421</v>
      </c>
      <c r="E2" s="133"/>
      <c r="F2" s="133"/>
      <c r="G2" s="133"/>
      <c r="H2" s="134"/>
      <c r="I2" s="118" t="s">
        <v>420</v>
      </c>
      <c r="J2" s="119"/>
      <c r="K2" s="119"/>
      <c r="L2" s="119"/>
      <c r="M2" s="120"/>
      <c r="N2" s="118" t="s">
        <v>419</v>
      </c>
      <c r="O2" s="119"/>
      <c r="P2" s="119"/>
      <c r="Q2" s="119"/>
      <c r="R2" s="120"/>
      <c r="S2" s="89"/>
    </row>
    <row r="3" spans="1:19" x14ac:dyDescent="0.35">
      <c r="B3" s="54"/>
      <c r="D3" s="55" t="s">
        <v>219</v>
      </c>
      <c r="E3" s="55" t="s">
        <v>220</v>
      </c>
      <c r="F3" s="55" t="s">
        <v>418</v>
      </c>
      <c r="G3" s="55" t="s">
        <v>417</v>
      </c>
      <c r="H3" s="56" t="s">
        <v>18</v>
      </c>
      <c r="I3" s="55" t="s">
        <v>219</v>
      </c>
      <c r="J3" s="55" t="s">
        <v>220</v>
      </c>
      <c r="K3" s="55" t="s">
        <v>418</v>
      </c>
      <c r="L3" s="55" t="s">
        <v>417</v>
      </c>
      <c r="M3" s="56" t="s">
        <v>222</v>
      </c>
      <c r="N3" s="55" t="s">
        <v>219</v>
      </c>
      <c r="O3" s="55" t="s">
        <v>220</v>
      </c>
      <c r="P3" s="55" t="s">
        <v>418</v>
      </c>
      <c r="Q3" s="55" t="s">
        <v>417</v>
      </c>
      <c r="R3" s="56" t="s">
        <v>18</v>
      </c>
      <c r="S3" s="57"/>
    </row>
    <row r="4" spans="1:19" x14ac:dyDescent="0.35">
      <c r="A4" s="121" t="s">
        <v>48</v>
      </c>
      <c r="B4" s="122"/>
      <c r="C4" s="123"/>
      <c r="D4" s="58">
        <f t="shared" ref="D4:S4" si="0">SUM(D358,D9,D14,D19,D24,D29,D40,D51,D56,D61,D66,D71,D76,D81,D86,D91,D96,D107,D112,D117,D128,D133,D144,D149,D154,D159,D164,D169,D174,D179,D184,D189,D205,D210,D215,D220,D225,D230,D235,D240,D245,D250,D255,D266,D277,D282,D287,D292,D297,D302,D307,D312,D317,D322,D327,D332,D337,D348,D353,D364,D369,D374,D379,D384,D395,D400,D416,D421,D426,D431,D436,D441,D446)</f>
        <v>1396</v>
      </c>
      <c r="E4" s="58">
        <f t="shared" si="0"/>
        <v>147</v>
      </c>
      <c r="F4" s="58">
        <f t="shared" si="0"/>
        <v>54</v>
      </c>
      <c r="G4" s="58">
        <f t="shared" si="0"/>
        <v>1</v>
      </c>
      <c r="H4" s="61">
        <f t="shared" si="0"/>
        <v>1598</v>
      </c>
      <c r="I4" s="58">
        <f t="shared" si="0"/>
        <v>1132</v>
      </c>
      <c r="J4" s="58">
        <f t="shared" si="0"/>
        <v>78</v>
      </c>
      <c r="K4" s="58">
        <f t="shared" si="0"/>
        <v>27</v>
      </c>
      <c r="L4" s="58">
        <f t="shared" si="0"/>
        <v>2</v>
      </c>
      <c r="M4" s="61">
        <f t="shared" si="0"/>
        <v>1239</v>
      </c>
      <c r="N4" s="58">
        <f t="shared" si="0"/>
        <v>5446</v>
      </c>
      <c r="O4" s="58">
        <f t="shared" si="0"/>
        <v>538</v>
      </c>
      <c r="P4" s="58">
        <f t="shared" si="0"/>
        <v>238</v>
      </c>
      <c r="Q4" s="58">
        <f t="shared" si="0"/>
        <v>6</v>
      </c>
      <c r="R4" s="61">
        <f t="shared" si="0"/>
        <v>6228</v>
      </c>
      <c r="S4" s="68">
        <f t="shared" si="0"/>
        <v>9065</v>
      </c>
    </row>
    <row r="5" spans="1:19" hidden="1" x14ac:dyDescent="0.35">
      <c r="A5" s="59" t="s">
        <v>223</v>
      </c>
      <c r="B5" s="54" t="s">
        <v>224</v>
      </c>
      <c r="C5" s="60" t="s">
        <v>225</v>
      </c>
      <c r="D5" s="60">
        <v>8</v>
      </c>
      <c r="E5" s="60"/>
      <c r="F5" s="60"/>
      <c r="G5" s="60"/>
      <c r="H5" s="61">
        <f>SUM(D5:G5)</f>
        <v>8</v>
      </c>
      <c r="I5" s="60">
        <v>2</v>
      </c>
      <c r="J5" s="60"/>
      <c r="K5" s="60"/>
      <c r="L5" s="60"/>
      <c r="M5" s="61">
        <f>SUM(I5:L5)</f>
        <v>2</v>
      </c>
      <c r="N5" s="60">
        <v>34</v>
      </c>
      <c r="O5" s="60"/>
      <c r="P5" s="60"/>
      <c r="Q5" s="60"/>
      <c r="R5" s="61">
        <f>SUM(N5:Q5)</f>
        <v>34</v>
      </c>
      <c r="S5" s="68">
        <f t="shared" ref="S5:S68" si="1">SUM(H5,M5,R5)</f>
        <v>44</v>
      </c>
    </row>
    <row r="6" spans="1:19" hidden="1" x14ac:dyDescent="0.35">
      <c r="A6" s="113" t="s">
        <v>226</v>
      </c>
      <c r="B6" s="54"/>
      <c r="C6" s="63" t="s">
        <v>227</v>
      </c>
      <c r="D6" s="63">
        <v>8</v>
      </c>
      <c r="E6" s="63"/>
      <c r="F6" s="63"/>
      <c r="G6" s="63"/>
      <c r="H6" s="61">
        <f>SUM(D6:G6)</f>
        <v>8</v>
      </c>
      <c r="I6" s="63">
        <v>4</v>
      </c>
      <c r="J6" s="63"/>
      <c r="K6" s="63"/>
      <c r="L6" s="63"/>
      <c r="M6" s="61">
        <f>SUM(I6:L6)</f>
        <v>4</v>
      </c>
      <c r="N6" s="63">
        <v>34</v>
      </c>
      <c r="O6" s="63"/>
      <c r="P6" s="63"/>
      <c r="Q6" s="63"/>
      <c r="R6" s="61">
        <f>SUM(N6:Q6)</f>
        <v>34</v>
      </c>
      <c r="S6" s="68">
        <f t="shared" si="1"/>
        <v>46</v>
      </c>
    </row>
    <row r="7" spans="1:19" hidden="1" x14ac:dyDescent="0.35">
      <c r="A7" s="113"/>
      <c r="B7" s="54"/>
      <c r="C7" s="60" t="s">
        <v>228</v>
      </c>
      <c r="D7" s="60">
        <v>10</v>
      </c>
      <c r="E7" s="60"/>
      <c r="F7" s="60"/>
      <c r="G7" s="60"/>
      <c r="H7" s="61">
        <f>SUM(D7:G7)</f>
        <v>10</v>
      </c>
      <c r="I7" s="60">
        <v>2</v>
      </c>
      <c r="J7" s="60"/>
      <c r="K7" s="60"/>
      <c r="L7" s="60"/>
      <c r="M7" s="61">
        <f>SUM(I7:L7)</f>
        <v>2</v>
      </c>
      <c r="N7" s="60">
        <v>38</v>
      </c>
      <c r="O7" s="60"/>
      <c r="P7" s="60"/>
      <c r="Q7" s="60"/>
      <c r="R7" s="61">
        <f>SUM(N7:Q7)</f>
        <v>38</v>
      </c>
      <c r="S7" s="68">
        <f t="shared" si="1"/>
        <v>50</v>
      </c>
    </row>
    <row r="8" spans="1:19" hidden="1" x14ac:dyDescent="0.35">
      <c r="B8" s="54"/>
      <c r="C8" s="63" t="s">
        <v>229</v>
      </c>
      <c r="D8" s="63">
        <v>6</v>
      </c>
      <c r="E8" s="63"/>
      <c r="F8" s="63"/>
      <c r="G8" s="63"/>
      <c r="H8" s="61">
        <f>SUM(D8:G8)</f>
        <v>6</v>
      </c>
      <c r="I8" s="63">
        <v>1</v>
      </c>
      <c r="J8" s="63"/>
      <c r="K8" s="63"/>
      <c r="L8" s="63"/>
      <c r="M8" s="61">
        <f>SUM(I8:L8)</f>
        <v>1</v>
      </c>
      <c r="N8" s="63">
        <v>43</v>
      </c>
      <c r="O8" s="63"/>
      <c r="P8" s="63"/>
      <c r="Q8" s="63"/>
      <c r="R8" s="61">
        <f>SUM(N8:Q8)</f>
        <v>43</v>
      </c>
      <c r="S8" s="68">
        <f t="shared" si="1"/>
        <v>50</v>
      </c>
    </row>
    <row r="9" spans="1:19" x14ac:dyDescent="0.35">
      <c r="A9" s="66" t="s">
        <v>223</v>
      </c>
      <c r="B9" s="67" t="s">
        <v>224</v>
      </c>
      <c r="C9" s="66"/>
      <c r="D9" s="66">
        <f t="shared" ref="D9:R9" si="2">SUM(D5:D8)</f>
        <v>32</v>
      </c>
      <c r="E9" s="66">
        <f t="shared" si="2"/>
        <v>0</v>
      </c>
      <c r="F9" s="66">
        <f t="shared" si="2"/>
        <v>0</v>
      </c>
      <c r="G9" s="66">
        <f t="shared" si="2"/>
        <v>0</v>
      </c>
      <c r="H9" s="61">
        <f t="shared" si="2"/>
        <v>32</v>
      </c>
      <c r="I9" s="66">
        <f t="shared" si="2"/>
        <v>9</v>
      </c>
      <c r="J9" s="66">
        <f t="shared" si="2"/>
        <v>0</v>
      </c>
      <c r="K9" s="66">
        <f t="shared" si="2"/>
        <v>0</v>
      </c>
      <c r="L9" s="66">
        <f t="shared" si="2"/>
        <v>0</v>
      </c>
      <c r="M9" s="61">
        <f t="shared" si="2"/>
        <v>9</v>
      </c>
      <c r="N9" s="66">
        <f t="shared" si="2"/>
        <v>149</v>
      </c>
      <c r="O9" s="66">
        <f t="shared" si="2"/>
        <v>0</v>
      </c>
      <c r="P9" s="66">
        <f t="shared" si="2"/>
        <v>0</v>
      </c>
      <c r="Q9" s="66">
        <f t="shared" si="2"/>
        <v>0</v>
      </c>
      <c r="R9" s="61">
        <f t="shared" si="2"/>
        <v>149</v>
      </c>
      <c r="S9" s="68">
        <f t="shared" si="1"/>
        <v>190</v>
      </c>
    </row>
    <row r="10" spans="1:19" hidden="1" x14ac:dyDescent="0.35">
      <c r="A10" s="59" t="s">
        <v>230</v>
      </c>
      <c r="B10" s="54">
        <v>23</v>
      </c>
      <c r="C10" s="60" t="s">
        <v>225</v>
      </c>
      <c r="D10" s="60"/>
      <c r="E10" s="60"/>
      <c r="F10" s="60"/>
      <c r="G10" s="60"/>
      <c r="H10" s="61">
        <f>SUM(D10:G10)</f>
        <v>0</v>
      </c>
      <c r="I10" s="60"/>
      <c r="J10" s="60"/>
      <c r="K10" s="60"/>
      <c r="L10" s="60"/>
      <c r="M10" s="61">
        <f>SUM(I10:L10)</f>
        <v>0</v>
      </c>
      <c r="N10" s="60">
        <v>3</v>
      </c>
      <c r="O10" s="60"/>
      <c r="P10" s="60"/>
      <c r="Q10" s="60"/>
      <c r="R10" s="61">
        <f>SUM(N10:Q10)</f>
        <v>3</v>
      </c>
      <c r="S10" s="68">
        <f t="shared" si="1"/>
        <v>3</v>
      </c>
    </row>
    <row r="11" spans="1:19" hidden="1" x14ac:dyDescent="0.35">
      <c r="A11" s="113" t="s">
        <v>380</v>
      </c>
      <c r="B11" s="54"/>
      <c r="C11" s="63" t="s">
        <v>227</v>
      </c>
      <c r="D11" s="63">
        <v>1</v>
      </c>
      <c r="E11" s="63"/>
      <c r="F11" s="63"/>
      <c r="G11" s="63"/>
      <c r="H11" s="61">
        <f>SUM(D11:G11)</f>
        <v>1</v>
      </c>
      <c r="I11" s="63"/>
      <c r="J11" s="63"/>
      <c r="K11" s="63"/>
      <c r="L11" s="63"/>
      <c r="M11" s="61">
        <f>SUM(I11:L11)</f>
        <v>0</v>
      </c>
      <c r="N11" s="63">
        <v>2</v>
      </c>
      <c r="O11" s="63"/>
      <c r="P11" s="63"/>
      <c r="Q11" s="63"/>
      <c r="R11" s="61">
        <f>SUM(N11:Q11)</f>
        <v>2</v>
      </c>
      <c r="S11" s="68">
        <f t="shared" si="1"/>
        <v>3</v>
      </c>
    </row>
    <row r="12" spans="1:19" hidden="1" x14ac:dyDescent="0.35">
      <c r="A12" s="113"/>
      <c r="B12" s="54"/>
      <c r="C12" s="60" t="s">
        <v>228</v>
      </c>
      <c r="D12" s="60">
        <v>1</v>
      </c>
      <c r="E12" s="60"/>
      <c r="F12" s="60"/>
      <c r="G12" s="60"/>
      <c r="H12" s="61">
        <f>SUM(D12:G12)</f>
        <v>1</v>
      </c>
      <c r="I12" s="60"/>
      <c r="J12" s="60"/>
      <c r="K12" s="60"/>
      <c r="L12" s="60"/>
      <c r="M12" s="61">
        <f>SUM(I12:L12)</f>
        <v>0</v>
      </c>
      <c r="N12" s="60">
        <v>1</v>
      </c>
      <c r="O12" s="60"/>
      <c r="P12" s="60"/>
      <c r="Q12" s="60"/>
      <c r="R12" s="61">
        <f>SUM(N12:Q12)</f>
        <v>1</v>
      </c>
      <c r="S12" s="68">
        <f t="shared" si="1"/>
        <v>2</v>
      </c>
    </row>
    <row r="13" spans="1:19" hidden="1" x14ac:dyDescent="0.35">
      <c r="B13" s="54"/>
      <c r="C13" s="69" t="s">
        <v>235</v>
      </c>
      <c r="D13" s="69"/>
      <c r="E13" s="69"/>
      <c r="F13" s="69"/>
      <c r="G13" s="69"/>
      <c r="H13" s="56">
        <f>SUM(D13:G13)</f>
        <v>0</v>
      </c>
      <c r="I13" s="69"/>
      <c r="J13" s="69"/>
      <c r="K13" s="69"/>
      <c r="L13" s="69"/>
      <c r="M13" s="56">
        <f>SUM(I13:L13)</f>
        <v>0</v>
      </c>
      <c r="N13" s="69"/>
      <c r="O13" s="69"/>
      <c r="P13" s="69"/>
      <c r="Q13" s="69"/>
      <c r="R13" s="56">
        <f>SUM(N13:Q13)</f>
        <v>0</v>
      </c>
      <c r="S13" s="68">
        <f t="shared" si="1"/>
        <v>0</v>
      </c>
    </row>
    <row r="14" spans="1:19" x14ac:dyDescent="0.35">
      <c r="A14" s="66" t="s">
        <v>230</v>
      </c>
      <c r="B14" s="67">
        <v>23</v>
      </c>
      <c r="C14" s="66"/>
      <c r="D14" s="66">
        <f t="shared" ref="D14:R14" si="3">SUM(D10:D13)</f>
        <v>2</v>
      </c>
      <c r="E14" s="66">
        <f t="shared" si="3"/>
        <v>0</v>
      </c>
      <c r="F14" s="66">
        <f t="shared" si="3"/>
        <v>0</v>
      </c>
      <c r="G14" s="66">
        <f t="shared" si="3"/>
        <v>0</v>
      </c>
      <c r="H14" s="61">
        <f t="shared" si="3"/>
        <v>2</v>
      </c>
      <c r="I14" s="66">
        <f t="shared" si="3"/>
        <v>0</v>
      </c>
      <c r="J14" s="66">
        <f t="shared" si="3"/>
        <v>0</v>
      </c>
      <c r="K14" s="66">
        <f t="shared" si="3"/>
        <v>0</v>
      </c>
      <c r="L14" s="66">
        <f t="shared" si="3"/>
        <v>0</v>
      </c>
      <c r="M14" s="61">
        <f t="shared" si="3"/>
        <v>0</v>
      </c>
      <c r="N14" s="66">
        <f t="shared" si="3"/>
        <v>6</v>
      </c>
      <c r="O14" s="66">
        <f t="shared" si="3"/>
        <v>0</v>
      </c>
      <c r="P14" s="66">
        <f t="shared" si="3"/>
        <v>0</v>
      </c>
      <c r="Q14" s="66">
        <f t="shared" si="3"/>
        <v>0</v>
      </c>
      <c r="R14" s="61">
        <f t="shared" si="3"/>
        <v>6</v>
      </c>
      <c r="S14" s="68">
        <f t="shared" si="1"/>
        <v>8</v>
      </c>
    </row>
    <row r="15" spans="1:19" hidden="1" x14ac:dyDescent="0.35">
      <c r="A15" s="59" t="s">
        <v>232</v>
      </c>
      <c r="B15" s="54" t="s">
        <v>233</v>
      </c>
      <c r="C15" s="60" t="s">
        <v>225</v>
      </c>
      <c r="D15" s="60"/>
      <c r="E15" s="60"/>
      <c r="F15" s="60"/>
      <c r="G15" s="60"/>
      <c r="H15" s="61">
        <f>SUM(D15:G15)</f>
        <v>0</v>
      </c>
      <c r="I15" s="60"/>
      <c r="J15" s="60"/>
      <c r="K15" s="60"/>
      <c r="L15" s="60"/>
      <c r="M15" s="61">
        <f>SUM(I15:L15)</f>
        <v>0</v>
      </c>
      <c r="N15" s="60"/>
      <c r="O15" s="60"/>
      <c r="P15" s="60"/>
      <c r="Q15" s="60"/>
      <c r="R15" s="61">
        <f>SUM(N15:Q15)</f>
        <v>0</v>
      </c>
      <c r="S15" s="68">
        <f t="shared" si="1"/>
        <v>0</v>
      </c>
    </row>
    <row r="16" spans="1:19" hidden="1" x14ac:dyDescent="0.35">
      <c r="A16" s="113" t="s">
        <v>234</v>
      </c>
      <c r="B16" s="54"/>
      <c r="C16" s="63" t="s">
        <v>227</v>
      </c>
      <c r="D16" s="63"/>
      <c r="E16" s="63"/>
      <c r="F16" s="63"/>
      <c r="G16" s="63"/>
      <c r="H16" s="61">
        <f>SUM(D16:G16)</f>
        <v>0</v>
      </c>
      <c r="I16" s="63"/>
      <c r="J16" s="63"/>
      <c r="K16" s="63"/>
      <c r="L16" s="63"/>
      <c r="M16" s="61">
        <f>SUM(I16:L16)</f>
        <v>0</v>
      </c>
      <c r="N16" s="63"/>
      <c r="O16" s="63"/>
      <c r="P16" s="63"/>
      <c r="Q16" s="63"/>
      <c r="R16" s="61">
        <f>SUM(N16:Q16)</f>
        <v>0</v>
      </c>
      <c r="S16" s="68">
        <f t="shared" si="1"/>
        <v>0</v>
      </c>
    </row>
    <row r="17" spans="1:19" hidden="1" x14ac:dyDescent="0.35">
      <c r="A17" s="113"/>
      <c r="B17" s="54"/>
      <c r="C17" s="60" t="s">
        <v>228</v>
      </c>
      <c r="D17" s="60"/>
      <c r="E17" s="60"/>
      <c r="F17" s="60"/>
      <c r="G17" s="60"/>
      <c r="H17" s="61">
        <f>SUM(D17:G17)</f>
        <v>0</v>
      </c>
      <c r="I17" s="60"/>
      <c r="J17" s="60"/>
      <c r="K17" s="60"/>
      <c r="L17" s="60"/>
      <c r="M17" s="61">
        <f>SUM(I17:L17)</f>
        <v>0</v>
      </c>
      <c r="N17" s="60"/>
      <c r="O17" s="60"/>
      <c r="P17" s="60"/>
      <c r="Q17" s="60"/>
      <c r="R17" s="61">
        <f>SUM(N17:Q17)</f>
        <v>0</v>
      </c>
      <c r="S17" s="68">
        <f t="shared" si="1"/>
        <v>0</v>
      </c>
    </row>
    <row r="18" spans="1:19" hidden="1" x14ac:dyDescent="0.35">
      <c r="B18" s="54"/>
      <c r="C18" s="69" t="s">
        <v>235</v>
      </c>
      <c r="D18" s="69"/>
      <c r="E18" s="69"/>
      <c r="F18" s="69"/>
      <c r="G18" s="69"/>
      <c r="H18" s="56">
        <f>SUM(D18:G18)</f>
        <v>0</v>
      </c>
      <c r="I18" s="69"/>
      <c r="J18" s="69"/>
      <c r="K18" s="69"/>
      <c r="L18" s="69"/>
      <c r="M18" s="56">
        <f>SUM(I18:L18)</f>
        <v>0</v>
      </c>
      <c r="N18" s="69"/>
      <c r="O18" s="69"/>
      <c r="P18" s="69"/>
      <c r="Q18" s="69"/>
      <c r="R18" s="56">
        <f>SUM(N18:Q18)</f>
        <v>0</v>
      </c>
      <c r="S18" s="68">
        <f t="shared" si="1"/>
        <v>0</v>
      </c>
    </row>
    <row r="19" spans="1:19" x14ac:dyDescent="0.35">
      <c r="A19" s="66" t="s">
        <v>236</v>
      </c>
      <c r="B19" s="67" t="s">
        <v>233</v>
      </c>
      <c r="C19" s="66"/>
      <c r="D19" s="66">
        <f t="shared" ref="D19:R19" si="4">SUM(D15:D18)</f>
        <v>0</v>
      </c>
      <c r="E19" s="66">
        <f t="shared" si="4"/>
        <v>0</v>
      </c>
      <c r="F19" s="66">
        <f t="shared" si="4"/>
        <v>0</v>
      </c>
      <c r="G19" s="66">
        <f t="shared" si="4"/>
        <v>0</v>
      </c>
      <c r="H19" s="61">
        <f t="shared" si="4"/>
        <v>0</v>
      </c>
      <c r="I19" s="66">
        <f t="shared" si="4"/>
        <v>0</v>
      </c>
      <c r="J19" s="66">
        <f t="shared" si="4"/>
        <v>0</v>
      </c>
      <c r="K19" s="66">
        <f t="shared" si="4"/>
        <v>0</v>
      </c>
      <c r="L19" s="66">
        <f t="shared" si="4"/>
        <v>0</v>
      </c>
      <c r="M19" s="61">
        <f t="shared" si="4"/>
        <v>0</v>
      </c>
      <c r="N19" s="66">
        <f t="shared" si="4"/>
        <v>0</v>
      </c>
      <c r="O19" s="66">
        <f t="shared" si="4"/>
        <v>0</v>
      </c>
      <c r="P19" s="66">
        <f t="shared" si="4"/>
        <v>0</v>
      </c>
      <c r="Q19" s="66">
        <f t="shared" si="4"/>
        <v>0</v>
      </c>
      <c r="R19" s="61">
        <f t="shared" si="4"/>
        <v>0</v>
      </c>
      <c r="S19" s="68">
        <f t="shared" si="1"/>
        <v>0</v>
      </c>
    </row>
    <row r="20" spans="1:19" hidden="1" x14ac:dyDescent="0.35">
      <c r="A20" s="59" t="s">
        <v>237</v>
      </c>
      <c r="B20" s="54">
        <v>13</v>
      </c>
      <c r="C20" s="60" t="s">
        <v>225</v>
      </c>
      <c r="D20" s="60"/>
      <c r="E20" s="60"/>
      <c r="F20" s="60"/>
      <c r="G20" s="60"/>
      <c r="H20" s="61">
        <f>SUM(D20:G20)</f>
        <v>0</v>
      </c>
      <c r="I20" s="60"/>
      <c r="J20" s="60"/>
      <c r="K20" s="60"/>
      <c r="L20" s="60"/>
      <c r="M20" s="61">
        <f>SUM(I20:L20)</f>
        <v>0</v>
      </c>
      <c r="N20" s="60">
        <v>11</v>
      </c>
      <c r="O20" s="60"/>
      <c r="P20" s="60"/>
      <c r="Q20" s="60"/>
      <c r="R20" s="61">
        <f>SUM(N20:Q20)</f>
        <v>11</v>
      </c>
      <c r="S20" s="68">
        <f t="shared" si="1"/>
        <v>11</v>
      </c>
    </row>
    <row r="21" spans="1:19" hidden="1" x14ac:dyDescent="0.35">
      <c r="A21" s="114" t="s">
        <v>238</v>
      </c>
      <c r="B21" s="54"/>
      <c r="C21" s="63" t="s">
        <v>239</v>
      </c>
      <c r="D21" s="63">
        <v>2</v>
      </c>
      <c r="E21" s="63"/>
      <c r="F21" s="63"/>
      <c r="G21" s="63"/>
      <c r="H21" s="61">
        <f>SUM(D21:G21)</f>
        <v>2</v>
      </c>
      <c r="I21" s="63">
        <v>1</v>
      </c>
      <c r="J21" s="63"/>
      <c r="K21" s="63"/>
      <c r="L21" s="63"/>
      <c r="M21" s="61">
        <f>SUM(I21:L21)</f>
        <v>1</v>
      </c>
      <c r="N21" s="63">
        <v>14</v>
      </c>
      <c r="O21" s="63"/>
      <c r="P21" s="63"/>
      <c r="Q21" s="63"/>
      <c r="R21" s="61">
        <f>SUM(N21:Q21)</f>
        <v>14</v>
      </c>
      <c r="S21" s="68">
        <f t="shared" si="1"/>
        <v>17</v>
      </c>
    </row>
    <row r="22" spans="1:19" hidden="1" x14ac:dyDescent="0.35">
      <c r="A22" s="114"/>
      <c r="B22" s="54"/>
      <c r="C22" s="60" t="s">
        <v>228</v>
      </c>
      <c r="D22" s="60">
        <v>4</v>
      </c>
      <c r="E22" s="60"/>
      <c r="F22" s="60"/>
      <c r="G22" s="60"/>
      <c r="H22" s="61">
        <f>SUM(D22:G22)</f>
        <v>4</v>
      </c>
      <c r="I22" s="60">
        <v>1</v>
      </c>
      <c r="J22" s="60"/>
      <c r="K22" s="60"/>
      <c r="L22" s="60"/>
      <c r="M22" s="61">
        <f>SUM(I22:L22)</f>
        <v>1</v>
      </c>
      <c r="N22" s="60">
        <v>19</v>
      </c>
      <c r="O22" s="60"/>
      <c r="P22" s="60"/>
      <c r="Q22" s="60"/>
      <c r="R22" s="61">
        <f>SUM(N22:Q22)</f>
        <v>19</v>
      </c>
      <c r="S22" s="68">
        <f t="shared" si="1"/>
        <v>24</v>
      </c>
    </row>
    <row r="23" spans="1:19" hidden="1" x14ac:dyDescent="0.35">
      <c r="B23" s="54"/>
      <c r="C23" s="63" t="s">
        <v>235</v>
      </c>
      <c r="D23" s="63">
        <v>3</v>
      </c>
      <c r="E23" s="63"/>
      <c r="F23" s="63"/>
      <c r="G23" s="63"/>
      <c r="H23" s="61">
        <f>SUM(D23:G23)</f>
        <v>3</v>
      </c>
      <c r="I23" s="63">
        <v>3</v>
      </c>
      <c r="J23" s="63"/>
      <c r="K23" s="63"/>
      <c r="L23" s="63"/>
      <c r="M23" s="61">
        <f>SUM(I23:L23)</f>
        <v>3</v>
      </c>
      <c r="N23" s="63">
        <v>24</v>
      </c>
      <c r="O23" s="63"/>
      <c r="P23" s="63"/>
      <c r="Q23" s="63"/>
      <c r="R23" s="61">
        <f>SUM(N23:Q23)</f>
        <v>24</v>
      </c>
      <c r="S23" s="68">
        <f t="shared" si="1"/>
        <v>30</v>
      </c>
    </row>
    <row r="24" spans="1:19" x14ac:dyDescent="0.35">
      <c r="A24" s="66" t="s">
        <v>237</v>
      </c>
      <c r="B24" s="70"/>
      <c r="C24" s="66"/>
      <c r="D24" s="66">
        <f t="shared" ref="D24:R24" si="5">SUM(D20:D23)</f>
        <v>9</v>
      </c>
      <c r="E24" s="66">
        <f t="shared" si="5"/>
        <v>0</v>
      </c>
      <c r="F24" s="66">
        <f t="shared" si="5"/>
        <v>0</v>
      </c>
      <c r="G24" s="66">
        <f t="shared" si="5"/>
        <v>0</v>
      </c>
      <c r="H24" s="61">
        <f t="shared" si="5"/>
        <v>9</v>
      </c>
      <c r="I24" s="66">
        <f t="shared" si="5"/>
        <v>5</v>
      </c>
      <c r="J24" s="66">
        <f t="shared" si="5"/>
        <v>0</v>
      </c>
      <c r="K24" s="66">
        <f t="shared" si="5"/>
        <v>0</v>
      </c>
      <c r="L24" s="66">
        <f t="shared" si="5"/>
        <v>0</v>
      </c>
      <c r="M24" s="61">
        <f t="shared" si="5"/>
        <v>5</v>
      </c>
      <c r="N24" s="66">
        <f t="shared" si="5"/>
        <v>68</v>
      </c>
      <c r="O24" s="66">
        <f t="shared" si="5"/>
        <v>0</v>
      </c>
      <c r="P24" s="66">
        <f t="shared" si="5"/>
        <v>0</v>
      </c>
      <c r="Q24" s="66">
        <f t="shared" si="5"/>
        <v>0</v>
      </c>
      <c r="R24" s="61">
        <f t="shared" si="5"/>
        <v>68</v>
      </c>
      <c r="S24" s="68">
        <f t="shared" si="1"/>
        <v>82</v>
      </c>
    </row>
    <row r="25" spans="1:19" hidden="1" x14ac:dyDescent="0.35">
      <c r="A25" s="59" t="s">
        <v>241</v>
      </c>
      <c r="B25" s="54">
        <v>28</v>
      </c>
      <c r="C25" s="60" t="s">
        <v>225</v>
      </c>
      <c r="D25" s="60">
        <v>8</v>
      </c>
      <c r="E25" s="60">
        <v>2</v>
      </c>
      <c r="F25" s="60">
        <v>1</v>
      </c>
      <c r="G25" s="60"/>
      <c r="H25" s="61">
        <f>SUM(D25:G25)</f>
        <v>11</v>
      </c>
      <c r="I25" s="60">
        <v>17</v>
      </c>
      <c r="J25" s="60">
        <v>1</v>
      </c>
      <c r="K25" s="60"/>
      <c r="L25" s="60"/>
      <c r="M25" s="61">
        <f>SUM(I25:L25)</f>
        <v>18</v>
      </c>
      <c r="N25" s="60">
        <v>35</v>
      </c>
      <c r="O25" s="60">
        <v>6</v>
      </c>
      <c r="P25" s="60"/>
      <c r="Q25" s="60"/>
      <c r="R25" s="61">
        <f>SUM(N25:Q25)</f>
        <v>41</v>
      </c>
      <c r="S25" s="68">
        <f t="shared" si="1"/>
        <v>70</v>
      </c>
    </row>
    <row r="26" spans="1:19" hidden="1" x14ac:dyDescent="0.35">
      <c r="A26" s="114" t="s">
        <v>242</v>
      </c>
      <c r="B26" s="54"/>
      <c r="C26" s="63" t="s">
        <v>227</v>
      </c>
      <c r="D26" s="63">
        <v>7</v>
      </c>
      <c r="E26" s="63">
        <v>1</v>
      </c>
      <c r="F26" s="63"/>
      <c r="G26" s="63"/>
      <c r="H26" s="61">
        <f>SUM(D26:G26)</f>
        <v>8</v>
      </c>
      <c r="I26" s="63">
        <v>7</v>
      </c>
      <c r="J26" s="88">
        <v>3</v>
      </c>
      <c r="K26" s="63"/>
      <c r="L26" s="63"/>
      <c r="M26" s="61">
        <f>SUM(I26:L26)</f>
        <v>10</v>
      </c>
      <c r="N26" s="88">
        <v>47</v>
      </c>
      <c r="O26" s="88">
        <v>2</v>
      </c>
      <c r="P26" s="88"/>
      <c r="Q26" s="88"/>
      <c r="R26" s="61">
        <f>SUM(N26:Q26)</f>
        <v>49</v>
      </c>
      <c r="S26" s="68">
        <f t="shared" si="1"/>
        <v>67</v>
      </c>
    </row>
    <row r="27" spans="1:19" hidden="1" x14ac:dyDescent="0.35">
      <c r="A27" s="114"/>
      <c r="B27" s="54"/>
      <c r="C27" s="60" t="s">
        <v>228</v>
      </c>
      <c r="D27" s="60">
        <v>14</v>
      </c>
      <c r="E27" s="60"/>
      <c r="F27" s="60"/>
      <c r="G27" s="60"/>
      <c r="H27" s="61">
        <f>SUM(D27:G27)</f>
        <v>14</v>
      </c>
      <c r="I27" s="60">
        <v>6</v>
      </c>
      <c r="J27" s="60"/>
      <c r="K27" s="60"/>
      <c r="L27" s="60"/>
      <c r="M27" s="61">
        <f>SUM(I27:L27)</f>
        <v>6</v>
      </c>
      <c r="N27" s="60">
        <v>52</v>
      </c>
      <c r="O27" s="60">
        <v>3</v>
      </c>
      <c r="P27" s="60"/>
      <c r="Q27" s="60"/>
      <c r="R27" s="61">
        <f>SUM(N27:Q27)</f>
        <v>55</v>
      </c>
      <c r="S27" s="68">
        <f t="shared" si="1"/>
        <v>75</v>
      </c>
    </row>
    <row r="28" spans="1:19" hidden="1" x14ac:dyDescent="0.35">
      <c r="B28" s="54"/>
      <c r="C28" s="63" t="s">
        <v>235</v>
      </c>
      <c r="D28" s="63">
        <v>14</v>
      </c>
      <c r="E28" s="63">
        <v>2</v>
      </c>
      <c r="F28" s="63"/>
      <c r="G28" s="63"/>
      <c r="H28" s="61">
        <f>SUM(D28:G28)</f>
        <v>16</v>
      </c>
      <c r="I28" s="63">
        <v>21</v>
      </c>
      <c r="J28" s="63"/>
      <c r="K28" s="63"/>
      <c r="L28" s="63"/>
      <c r="M28" s="61">
        <f>SUM(I28:L28)</f>
        <v>21</v>
      </c>
      <c r="N28" s="63">
        <v>51</v>
      </c>
      <c r="O28" s="63">
        <v>2</v>
      </c>
      <c r="P28" s="63">
        <v>1</v>
      </c>
      <c r="Q28" s="63"/>
      <c r="R28" s="61">
        <f>SUM(N28:Q28)</f>
        <v>54</v>
      </c>
      <c r="S28" s="68">
        <f t="shared" si="1"/>
        <v>91</v>
      </c>
    </row>
    <row r="29" spans="1:19" ht="15.75" customHeight="1" x14ac:dyDescent="0.35">
      <c r="A29" s="66" t="s">
        <v>241</v>
      </c>
      <c r="B29" s="67">
        <v>28</v>
      </c>
      <c r="C29" s="66"/>
      <c r="D29" s="66">
        <f t="shared" ref="D29:R29" si="6">SUM(D25:D28)</f>
        <v>43</v>
      </c>
      <c r="E29" s="66">
        <f t="shared" si="6"/>
        <v>5</v>
      </c>
      <c r="F29" s="66">
        <f t="shared" si="6"/>
        <v>1</v>
      </c>
      <c r="G29" s="66">
        <f t="shared" si="6"/>
        <v>0</v>
      </c>
      <c r="H29" s="61">
        <f t="shared" si="6"/>
        <v>49</v>
      </c>
      <c r="I29" s="66">
        <f t="shared" si="6"/>
        <v>51</v>
      </c>
      <c r="J29" s="66">
        <f t="shared" si="6"/>
        <v>4</v>
      </c>
      <c r="K29" s="66">
        <f t="shared" si="6"/>
        <v>0</v>
      </c>
      <c r="L29" s="66">
        <f t="shared" si="6"/>
        <v>0</v>
      </c>
      <c r="M29" s="61">
        <f t="shared" si="6"/>
        <v>55</v>
      </c>
      <c r="N29" s="66">
        <f t="shared" si="6"/>
        <v>185</v>
      </c>
      <c r="O29" s="66">
        <f t="shared" si="6"/>
        <v>13</v>
      </c>
      <c r="P29" s="66">
        <f t="shared" si="6"/>
        <v>1</v>
      </c>
      <c r="Q29" s="66">
        <f t="shared" si="6"/>
        <v>0</v>
      </c>
      <c r="R29" s="61">
        <f t="shared" si="6"/>
        <v>199</v>
      </c>
      <c r="S29" s="68">
        <f t="shared" si="1"/>
        <v>303</v>
      </c>
    </row>
    <row r="30" spans="1:19" hidden="1" x14ac:dyDescent="0.35">
      <c r="A30" s="59" t="s">
        <v>243</v>
      </c>
      <c r="B30" s="54">
        <v>25</v>
      </c>
      <c r="C30" s="60" t="s">
        <v>225</v>
      </c>
      <c r="D30" s="60">
        <v>1</v>
      </c>
      <c r="E30" s="60"/>
      <c r="F30" s="60"/>
      <c r="G30" s="60"/>
      <c r="H30" s="61">
        <f>SUM(D30:G30)</f>
        <v>1</v>
      </c>
      <c r="I30" s="60"/>
      <c r="J30" s="60"/>
      <c r="K30" s="60"/>
      <c r="L30" s="60"/>
      <c r="M30" s="61">
        <f>SUM(I30:L30)</f>
        <v>0</v>
      </c>
      <c r="N30" s="60">
        <v>8</v>
      </c>
      <c r="O30" s="60"/>
      <c r="P30" s="60"/>
      <c r="Q30" s="60"/>
      <c r="R30" s="61">
        <f>SUM(N30:Q30)</f>
        <v>8</v>
      </c>
      <c r="S30" s="68">
        <f t="shared" si="1"/>
        <v>9</v>
      </c>
    </row>
    <row r="31" spans="1:19" hidden="1" x14ac:dyDescent="0.35">
      <c r="A31" s="115" t="s">
        <v>244</v>
      </c>
      <c r="B31" s="54"/>
      <c r="C31" s="63" t="s">
        <v>227</v>
      </c>
      <c r="D31" s="63">
        <v>4</v>
      </c>
      <c r="E31" s="63"/>
      <c r="F31" s="63"/>
      <c r="G31" s="63"/>
      <c r="H31" s="61">
        <f>SUM(D31:G31)</f>
        <v>4</v>
      </c>
      <c r="I31" s="63"/>
      <c r="J31" s="63"/>
      <c r="K31" s="63"/>
      <c r="L31" s="63"/>
      <c r="M31" s="61">
        <f>SUM(I31:L31)</f>
        <v>0</v>
      </c>
      <c r="N31" s="63">
        <v>5</v>
      </c>
      <c r="O31" s="63"/>
      <c r="P31" s="63"/>
      <c r="Q31" s="63"/>
      <c r="R31" s="61">
        <f>SUM(N31:Q31)</f>
        <v>5</v>
      </c>
      <c r="S31" s="68">
        <f t="shared" si="1"/>
        <v>9</v>
      </c>
    </row>
    <row r="32" spans="1:19" hidden="1" x14ac:dyDescent="0.35">
      <c r="A32" s="115"/>
      <c r="B32" s="54"/>
      <c r="C32" s="60" t="s">
        <v>228</v>
      </c>
      <c r="D32" s="60">
        <v>4</v>
      </c>
      <c r="E32" s="60"/>
      <c r="F32" s="60"/>
      <c r="G32" s="60"/>
      <c r="H32" s="61">
        <f>SUM(D32:G32)</f>
        <v>4</v>
      </c>
      <c r="I32" s="60">
        <v>1</v>
      </c>
      <c r="J32" s="60"/>
      <c r="K32" s="60"/>
      <c r="L32" s="60"/>
      <c r="M32" s="61">
        <f>SUM(I32:L32)</f>
        <v>1</v>
      </c>
      <c r="N32" s="60">
        <v>4</v>
      </c>
      <c r="O32" s="60"/>
      <c r="P32" s="60"/>
      <c r="Q32" s="60"/>
      <c r="R32" s="61">
        <f>SUM(N32:Q32)</f>
        <v>4</v>
      </c>
      <c r="S32" s="68">
        <f t="shared" si="1"/>
        <v>9</v>
      </c>
    </row>
    <row r="33" spans="1:19" hidden="1" x14ac:dyDescent="0.35">
      <c r="B33" s="54"/>
      <c r="C33" s="63" t="s">
        <v>235</v>
      </c>
      <c r="D33" s="63">
        <v>1</v>
      </c>
      <c r="E33" s="63"/>
      <c r="F33" s="63"/>
      <c r="G33" s="63"/>
      <c r="H33" s="61">
        <f>SUM(D33:G33)</f>
        <v>1</v>
      </c>
      <c r="I33" s="63">
        <v>2</v>
      </c>
      <c r="J33" s="63"/>
      <c r="K33" s="63"/>
      <c r="L33" s="63"/>
      <c r="M33" s="61">
        <f>SUM(I33:L33)</f>
        <v>2</v>
      </c>
      <c r="N33" s="63">
        <v>4</v>
      </c>
      <c r="O33" s="63"/>
      <c r="P33" s="63"/>
      <c r="Q33" s="63"/>
      <c r="R33" s="61">
        <f>SUM(N33:Q33)</f>
        <v>4</v>
      </c>
      <c r="S33" s="68">
        <f t="shared" si="1"/>
        <v>7</v>
      </c>
    </row>
    <row r="34" spans="1:19" hidden="1" x14ac:dyDescent="0.35">
      <c r="A34" s="66" t="s">
        <v>244</v>
      </c>
      <c r="B34" s="70"/>
      <c r="C34" s="66"/>
      <c r="D34" s="66">
        <f t="shared" ref="D34:R34" si="7">SUM(D30:D33)</f>
        <v>10</v>
      </c>
      <c r="E34" s="66">
        <f t="shared" si="7"/>
        <v>0</v>
      </c>
      <c r="F34" s="66">
        <f t="shared" si="7"/>
        <v>0</v>
      </c>
      <c r="G34" s="66">
        <f t="shared" si="7"/>
        <v>0</v>
      </c>
      <c r="H34" s="61">
        <f t="shared" si="7"/>
        <v>10</v>
      </c>
      <c r="I34" s="66">
        <f t="shared" si="7"/>
        <v>3</v>
      </c>
      <c r="J34" s="66">
        <f t="shared" si="7"/>
        <v>0</v>
      </c>
      <c r="K34" s="58">
        <f t="shared" si="7"/>
        <v>0</v>
      </c>
      <c r="L34" s="66">
        <f t="shared" si="7"/>
        <v>0</v>
      </c>
      <c r="M34" s="61">
        <f t="shared" si="7"/>
        <v>3</v>
      </c>
      <c r="N34" s="66">
        <f t="shared" si="7"/>
        <v>21</v>
      </c>
      <c r="O34" s="66">
        <f t="shared" si="7"/>
        <v>0</v>
      </c>
      <c r="P34" s="58">
        <f t="shared" si="7"/>
        <v>0</v>
      </c>
      <c r="Q34" s="66">
        <f t="shared" si="7"/>
        <v>0</v>
      </c>
      <c r="R34" s="61">
        <f t="shared" si="7"/>
        <v>21</v>
      </c>
      <c r="S34" s="68">
        <f t="shared" si="1"/>
        <v>34</v>
      </c>
    </row>
    <row r="35" spans="1:19" ht="15" hidden="1" customHeight="1" x14ac:dyDescent="0.35">
      <c r="A35" s="138" t="s">
        <v>245</v>
      </c>
      <c r="B35" s="54"/>
      <c r="C35" s="60" t="s">
        <v>225</v>
      </c>
      <c r="D35" s="60"/>
      <c r="E35" s="60"/>
      <c r="F35" s="60"/>
      <c r="G35" s="60"/>
      <c r="H35" s="61">
        <f>SUM(D35:G35)</f>
        <v>0</v>
      </c>
      <c r="I35" s="60"/>
      <c r="J35" s="60"/>
      <c r="K35" s="60"/>
      <c r="L35" s="60"/>
      <c r="M35" s="61">
        <f>SUM(I35:L35)</f>
        <v>0</v>
      </c>
      <c r="N35" s="60"/>
      <c r="O35" s="60"/>
      <c r="P35" s="60"/>
      <c r="Q35" s="60"/>
      <c r="R35" s="61">
        <f>SUM(N35:Q35)</f>
        <v>0</v>
      </c>
      <c r="S35" s="68">
        <f t="shared" si="1"/>
        <v>0</v>
      </c>
    </row>
    <row r="36" spans="1:19" hidden="1" x14ac:dyDescent="0.35">
      <c r="A36" s="112"/>
      <c r="B36" s="54"/>
      <c r="C36" s="63" t="s">
        <v>227</v>
      </c>
      <c r="D36" s="63"/>
      <c r="E36" s="63"/>
      <c r="F36" s="63"/>
      <c r="G36" s="63"/>
      <c r="H36" s="61">
        <f>SUM(D36:G36)</f>
        <v>0</v>
      </c>
      <c r="I36" s="63"/>
      <c r="J36" s="63"/>
      <c r="K36" s="63"/>
      <c r="L36" s="63"/>
      <c r="M36" s="61">
        <f>SUM(I36:L36)</f>
        <v>0</v>
      </c>
      <c r="N36" s="63"/>
      <c r="O36" s="63"/>
      <c r="P36" s="63"/>
      <c r="Q36" s="63"/>
      <c r="R36" s="61">
        <f>SUM(N36:Q36)</f>
        <v>0</v>
      </c>
      <c r="S36" s="68">
        <f t="shared" si="1"/>
        <v>0</v>
      </c>
    </row>
    <row r="37" spans="1:19" hidden="1" x14ac:dyDescent="0.35">
      <c r="B37" s="54"/>
      <c r="C37" s="60" t="s">
        <v>228</v>
      </c>
      <c r="D37" s="60"/>
      <c r="E37" s="60"/>
      <c r="F37" s="60"/>
      <c r="G37" s="60"/>
      <c r="H37" s="61">
        <f>SUM(D37:G37)</f>
        <v>0</v>
      </c>
      <c r="I37" s="60"/>
      <c r="J37" s="60"/>
      <c r="K37" s="60"/>
      <c r="L37" s="60"/>
      <c r="M37" s="61">
        <f>SUM(I37:L37)</f>
        <v>0</v>
      </c>
      <c r="N37" s="60"/>
      <c r="O37" s="60"/>
      <c r="P37" s="60"/>
      <c r="Q37" s="60"/>
      <c r="R37" s="61">
        <f>SUM(N37:Q37)</f>
        <v>0</v>
      </c>
      <c r="S37" s="68">
        <f t="shared" si="1"/>
        <v>0</v>
      </c>
    </row>
    <row r="38" spans="1:19" hidden="1" x14ac:dyDescent="0.35">
      <c r="B38" s="54"/>
      <c r="C38" s="63" t="s">
        <v>235</v>
      </c>
      <c r="D38" s="63"/>
      <c r="E38" s="63"/>
      <c r="F38" s="63"/>
      <c r="G38" s="63"/>
      <c r="H38" s="61">
        <f>SUM(D38:G38)</f>
        <v>0</v>
      </c>
      <c r="I38" s="63"/>
      <c r="J38" s="63"/>
      <c r="K38" s="63"/>
      <c r="L38" s="63"/>
      <c r="M38" s="61">
        <f>SUM(I38:L38)</f>
        <v>0</v>
      </c>
      <c r="N38" s="63"/>
      <c r="O38" s="63"/>
      <c r="P38" s="63"/>
      <c r="Q38" s="63"/>
      <c r="R38" s="61">
        <f>SUM(N38:Q38)</f>
        <v>0</v>
      </c>
      <c r="S38" s="68">
        <f t="shared" si="1"/>
        <v>0</v>
      </c>
    </row>
    <row r="39" spans="1:19" hidden="1" x14ac:dyDescent="0.35">
      <c r="A39" s="66" t="s">
        <v>246</v>
      </c>
      <c r="B39" s="67"/>
      <c r="C39" s="73"/>
      <c r="D39" s="73">
        <f t="shared" ref="D39:R39" si="8">SUM(D35:D38)</f>
        <v>0</v>
      </c>
      <c r="E39" s="73">
        <f t="shared" si="8"/>
        <v>0</v>
      </c>
      <c r="F39" s="73">
        <f t="shared" si="8"/>
        <v>0</v>
      </c>
      <c r="G39" s="73">
        <f t="shared" si="8"/>
        <v>0</v>
      </c>
      <c r="H39" s="56">
        <f t="shared" si="8"/>
        <v>0</v>
      </c>
      <c r="I39" s="73">
        <f t="shared" si="8"/>
        <v>0</v>
      </c>
      <c r="J39" s="73">
        <f t="shared" si="8"/>
        <v>0</v>
      </c>
      <c r="K39" s="58">
        <f t="shared" si="8"/>
        <v>0</v>
      </c>
      <c r="L39" s="73">
        <f t="shared" si="8"/>
        <v>0</v>
      </c>
      <c r="M39" s="56">
        <f t="shared" si="8"/>
        <v>0</v>
      </c>
      <c r="N39" s="73">
        <f t="shared" si="8"/>
        <v>0</v>
      </c>
      <c r="O39" s="73">
        <f t="shared" si="8"/>
        <v>0</v>
      </c>
      <c r="P39" s="58">
        <f t="shared" si="8"/>
        <v>0</v>
      </c>
      <c r="Q39" s="73">
        <f t="shared" si="8"/>
        <v>0</v>
      </c>
      <c r="R39" s="56">
        <f t="shared" si="8"/>
        <v>0</v>
      </c>
      <c r="S39" s="68">
        <f t="shared" si="1"/>
        <v>0</v>
      </c>
    </row>
    <row r="40" spans="1:19" x14ac:dyDescent="0.35">
      <c r="A40" s="66" t="s">
        <v>243</v>
      </c>
      <c r="B40" s="67">
        <v>25</v>
      </c>
      <c r="C40" s="66"/>
      <c r="D40" s="66">
        <f t="shared" ref="D40:R40" si="9">SUM(D39,D34)</f>
        <v>10</v>
      </c>
      <c r="E40" s="66">
        <f t="shared" si="9"/>
        <v>0</v>
      </c>
      <c r="F40" s="66">
        <f t="shared" si="9"/>
        <v>0</v>
      </c>
      <c r="G40" s="66">
        <f t="shared" si="9"/>
        <v>0</v>
      </c>
      <c r="H40" s="61">
        <f t="shared" si="9"/>
        <v>10</v>
      </c>
      <c r="I40" s="66">
        <f t="shared" si="9"/>
        <v>3</v>
      </c>
      <c r="J40" s="66">
        <f t="shared" si="9"/>
        <v>0</v>
      </c>
      <c r="K40" s="66">
        <f t="shared" si="9"/>
        <v>0</v>
      </c>
      <c r="L40" s="66">
        <f t="shared" si="9"/>
        <v>0</v>
      </c>
      <c r="M40" s="61">
        <f t="shared" si="9"/>
        <v>3</v>
      </c>
      <c r="N40" s="66">
        <f t="shared" si="9"/>
        <v>21</v>
      </c>
      <c r="O40" s="66">
        <f t="shared" si="9"/>
        <v>0</v>
      </c>
      <c r="P40" s="66">
        <f t="shared" si="9"/>
        <v>0</v>
      </c>
      <c r="Q40" s="66">
        <f t="shared" si="9"/>
        <v>0</v>
      </c>
      <c r="R40" s="61">
        <f t="shared" si="9"/>
        <v>21</v>
      </c>
      <c r="S40" s="68">
        <f t="shared" si="1"/>
        <v>34</v>
      </c>
    </row>
    <row r="41" spans="1:19" hidden="1" x14ac:dyDescent="0.35">
      <c r="A41" s="59" t="s">
        <v>247</v>
      </c>
      <c r="B41" s="54" t="s">
        <v>248</v>
      </c>
      <c r="C41" s="60" t="s">
        <v>225</v>
      </c>
      <c r="D41" s="60">
        <v>6</v>
      </c>
      <c r="E41" s="60"/>
      <c r="F41" s="60"/>
      <c r="G41" s="60"/>
      <c r="H41" s="61">
        <f>SUM(D41:G41)</f>
        <v>6</v>
      </c>
      <c r="I41" s="60">
        <v>3</v>
      </c>
      <c r="J41" s="60"/>
      <c r="K41" s="60"/>
      <c r="L41" s="60"/>
      <c r="M41" s="61">
        <f>SUM(I41:L41)</f>
        <v>3</v>
      </c>
      <c r="N41" s="60">
        <v>17</v>
      </c>
      <c r="O41" s="60">
        <v>1</v>
      </c>
      <c r="P41" s="60"/>
      <c r="Q41" s="60"/>
      <c r="R41" s="61">
        <f>SUM(N41:Q41)</f>
        <v>18</v>
      </c>
      <c r="S41" s="68">
        <f t="shared" si="1"/>
        <v>27</v>
      </c>
    </row>
    <row r="42" spans="1:19" hidden="1" x14ac:dyDescent="0.35">
      <c r="A42" s="112" t="s">
        <v>249</v>
      </c>
      <c r="B42" s="54"/>
      <c r="C42" s="63" t="s">
        <v>227</v>
      </c>
      <c r="D42" s="63">
        <v>5</v>
      </c>
      <c r="E42" s="63">
        <v>1</v>
      </c>
      <c r="F42" s="63"/>
      <c r="G42" s="63"/>
      <c r="H42" s="61">
        <f>SUM(D42:G42)</f>
        <v>6</v>
      </c>
      <c r="I42" s="63">
        <v>4</v>
      </c>
      <c r="J42" s="63"/>
      <c r="K42" s="63"/>
      <c r="L42" s="63"/>
      <c r="M42" s="61">
        <f>SUM(I42:L42)</f>
        <v>4</v>
      </c>
      <c r="N42" s="63">
        <v>13</v>
      </c>
      <c r="O42" s="63">
        <v>2</v>
      </c>
      <c r="P42" s="63"/>
      <c r="Q42" s="63"/>
      <c r="R42" s="61">
        <f>SUM(N42:Q42)</f>
        <v>15</v>
      </c>
      <c r="S42" s="68">
        <f t="shared" si="1"/>
        <v>25</v>
      </c>
    </row>
    <row r="43" spans="1:19" hidden="1" x14ac:dyDescent="0.35">
      <c r="A43" s="112"/>
      <c r="B43" s="54"/>
      <c r="C43" s="60" t="s">
        <v>228</v>
      </c>
      <c r="D43" s="60">
        <v>3</v>
      </c>
      <c r="E43" s="60"/>
      <c r="F43" s="60"/>
      <c r="G43" s="60"/>
      <c r="H43" s="61">
        <f>SUM(D43:G43)</f>
        <v>3</v>
      </c>
      <c r="I43" s="60">
        <v>6</v>
      </c>
      <c r="J43" s="60"/>
      <c r="K43" s="60"/>
      <c r="L43" s="60"/>
      <c r="M43" s="61">
        <f>SUM(I43:L43)</f>
        <v>6</v>
      </c>
      <c r="N43" s="60">
        <v>12</v>
      </c>
      <c r="O43" s="60">
        <v>3</v>
      </c>
      <c r="P43" s="60"/>
      <c r="Q43" s="60"/>
      <c r="R43" s="61">
        <f>SUM(N43:Q43)</f>
        <v>15</v>
      </c>
      <c r="S43" s="68">
        <f t="shared" si="1"/>
        <v>24</v>
      </c>
    </row>
    <row r="44" spans="1:19" hidden="1" x14ac:dyDescent="0.35">
      <c r="B44" s="54"/>
      <c r="C44" s="63" t="s">
        <v>235</v>
      </c>
      <c r="D44" s="63">
        <v>5</v>
      </c>
      <c r="E44" s="63">
        <v>2</v>
      </c>
      <c r="F44" s="63"/>
      <c r="G44" s="63"/>
      <c r="H44" s="61">
        <f>SUM(D44:G44)</f>
        <v>7</v>
      </c>
      <c r="I44" s="63">
        <v>2</v>
      </c>
      <c r="J44" s="63"/>
      <c r="K44" s="63"/>
      <c r="L44" s="63"/>
      <c r="M44" s="61">
        <f>SUM(I44:L44)</f>
        <v>2</v>
      </c>
      <c r="N44" s="63">
        <v>14</v>
      </c>
      <c r="O44" s="63">
        <v>3</v>
      </c>
      <c r="P44" s="63"/>
      <c r="Q44" s="63"/>
      <c r="R44" s="61">
        <f>SUM(N44:Q44)</f>
        <v>17</v>
      </c>
      <c r="S44" s="68">
        <f t="shared" si="1"/>
        <v>26</v>
      </c>
    </row>
    <row r="45" spans="1:19" hidden="1" x14ac:dyDescent="0.35">
      <c r="A45" s="66" t="s">
        <v>249</v>
      </c>
      <c r="B45" s="67" t="s">
        <v>248</v>
      </c>
      <c r="C45" s="66"/>
      <c r="D45" s="66">
        <f t="shared" ref="D45:R45" si="10">SUM(D41:D44)</f>
        <v>19</v>
      </c>
      <c r="E45" s="66">
        <f t="shared" si="10"/>
        <v>3</v>
      </c>
      <c r="F45" s="58">
        <f t="shared" si="10"/>
        <v>0</v>
      </c>
      <c r="G45" s="66">
        <f t="shared" si="10"/>
        <v>0</v>
      </c>
      <c r="H45" s="61">
        <f t="shared" si="10"/>
        <v>22</v>
      </c>
      <c r="I45" s="66">
        <f t="shared" si="10"/>
        <v>15</v>
      </c>
      <c r="J45" s="66">
        <f t="shared" si="10"/>
        <v>0</v>
      </c>
      <c r="K45" s="58">
        <f t="shared" si="10"/>
        <v>0</v>
      </c>
      <c r="L45" s="66">
        <f t="shared" si="10"/>
        <v>0</v>
      </c>
      <c r="M45" s="61">
        <f t="shared" si="10"/>
        <v>15</v>
      </c>
      <c r="N45" s="66">
        <f t="shared" si="10"/>
        <v>56</v>
      </c>
      <c r="O45" s="66">
        <f t="shared" si="10"/>
        <v>9</v>
      </c>
      <c r="P45" s="58">
        <f t="shared" si="10"/>
        <v>0</v>
      </c>
      <c r="Q45" s="66">
        <f t="shared" si="10"/>
        <v>0</v>
      </c>
      <c r="R45" s="61">
        <f t="shared" si="10"/>
        <v>65</v>
      </c>
      <c r="S45" s="68">
        <f t="shared" si="1"/>
        <v>102</v>
      </c>
    </row>
    <row r="46" spans="1:19" ht="15" hidden="1" customHeight="1" x14ac:dyDescent="0.35">
      <c r="A46" s="138" t="s">
        <v>397</v>
      </c>
      <c r="B46" s="54"/>
      <c r="C46" s="60" t="s">
        <v>225</v>
      </c>
      <c r="D46" s="60"/>
      <c r="E46" s="60"/>
      <c r="F46" s="60"/>
      <c r="G46" s="60"/>
      <c r="H46" s="61">
        <f>SUM(D46:G46)</f>
        <v>0</v>
      </c>
      <c r="I46" s="60"/>
      <c r="J46" s="60"/>
      <c r="K46" s="60"/>
      <c r="L46" s="60"/>
      <c r="M46" s="61">
        <f>SUM(I46:L46)</f>
        <v>0</v>
      </c>
      <c r="N46" s="60"/>
      <c r="O46" s="60"/>
      <c r="P46" s="60"/>
      <c r="Q46" s="60"/>
      <c r="R46" s="61">
        <f>SUM(N46:Q46)</f>
        <v>0</v>
      </c>
      <c r="S46" s="68">
        <f t="shared" si="1"/>
        <v>0</v>
      </c>
    </row>
    <row r="47" spans="1:19" hidden="1" x14ac:dyDescent="0.35">
      <c r="A47" s="112"/>
      <c r="B47" s="54"/>
      <c r="C47" s="63" t="s">
        <v>227</v>
      </c>
      <c r="D47" s="63"/>
      <c r="E47" s="63"/>
      <c r="F47" s="63"/>
      <c r="G47" s="63"/>
      <c r="H47" s="61">
        <f>SUM(D47:G47)</f>
        <v>0</v>
      </c>
      <c r="I47" s="63"/>
      <c r="J47" s="63"/>
      <c r="K47" s="63"/>
      <c r="L47" s="63"/>
      <c r="M47" s="61">
        <f>SUM(I47:L47)</f>
        <v>0</v>
      </c>
      <c r="N47" s="63"/>
      <c r="O47" s="63"/>
      <c r="P47" s="63"/>
      <c r="Q47" s="63"/>
      <c r="R47" s="61">
        <f>SUM(N47:Q47)</f>
        <v>0</v>
      </c>
      <c r="S47" s="68">
        <f t="shared" si="1"/>
        <v>0</v>
      </c>
    </row>
    <row r="48" spans="1:19" hidden="1" x14ac:dyDescent="0.35">
      <c r="B48" s="54"/>
      <c r="C48" s="60" t="s">
        <v>228</v>
      </c>
      <c r="D48" s="60"/>
      <c r="E48" s="60"/>
      <c r="F48" s="60"/>
      <c r="G48" s="60"/>
      <c r="H48" s="61">
        <f>SUM(D48:G48)</f>
        <v>0</v>
      </c>
      <c r="I48" s="60"/>
      <c r="J48" s="60"/>
      <c r="K48" s="60"/>
      <c r="L48" s="60"/>
      <c r="M48" s="61">
        <f>SUM(I48:L48)</f>
        <v>0</v>
      </c>
      <c r="N48" s="60"/>
      <c r="O48" s="60"/>
      <c r="P48" s="60"/>
      <c r="Q48" s="60"/>
      <c r="R48" s="61">
        <f>SUM(N48:Q48)</f>
        <v>0</v>
      </c>
      <c r="S48" s="68">
        <f t="shared" si="1"/>
        <v>0</v>
      </c>
    </row>
    <row r="49" spans="1:19" hidden="1" x14ac:dyDescent="0.35">
      <c r="B49" s="54"/>
      <c r="C49" s="63" t="s">
        <v>235</v>
      </c>
      <c r="D49" s="63"/>
      <c r="E49" s="63"/>
      <c r="F49" s="63"/>
      <c r="G49" s="63"/>
      <c r="H49" s="61">
        <f>SUM(D49:G49)</f>
        <v>0</v>
      </c>
      <c r="I49" s="63"/>
      <c r="J49" s="63"/>
      <c r="K49" s="63"/>
      <c r="L49" s="63"/>
      <c r="M49" s="61">
        <f>SUM(I49:L49)</f>
        <v>0</v>
      </c>
      <c r="N49" s="63"/>
      <c r="O49" s="63"/>
      <c r="P49" s="63"/>
      <c r="Q49" s="63"/>
      <c r="R49" s="61">
        <f>SUM(N49:Q49)</f>
        <v>0</v>
      </c>
      <c r="S49" s="68">
        <f t="shared" si="1"/>
        <v>0</v>
      </c>
    </row>
    <row r="50" spans="1:19" hidden="1" x14ac:dyDescent="0.35">
      <c r="A50" s="66" t="s">
        <v>397</v>
      </c>
      <c r="B50" s="67"/>
      <c r="C50" s="73"/>
      <c r="D50" s="73">
        <f t="shared" ref="D50:R50" si="11">SUM(D46:D49)</f>
        <v>0</v>
      </c>
      <c r="E50" s="73">
        <f t="shared" si="11"/>
        <v>0</v>
      </c>
      <c r="F50" s="73">
        <f t="shared" si="11"/>
        <v>0</v>
      </c>
      <c r="G50" s="73">
        <f t="shared" si="11"/>
        <v>0</v>
      </c>
      <c r="H50" s="56">
        <f t="shared" si="11"/>
        <v>0</v>
      </c>
      <c r="I50" s="73">
        <f t="shared" si="11"/>
        <v>0</v>
      </c>
      <c r="J50" s="73">
        <f t="shared" si="11"/>
        <v>0</v>
      </c>
      <c r="K50" s="58">
        <f t="shared" si="11"/>
        <v>0</v>
      </c>
      <c r="L50" s="73">
        <f t="shared" si="11"/>
        <v>0</v>
      </c>
      <c r="M50" s="56">
        <f t="shared" si="11"/>
        <v>0</v>
      </c>
      <c r="N50" s="73">
        <f t="shared" si="11"/>
        <v>0</v>
      </c>
      <c r="O50" s="73">
        <f t="shared" si="11"/>
        <v>0</v>
      </c>
      <c r="P50" s="58">
        <f t="shared" si="11"/>
        <v>0</v>
      </c>
      <c r="Q50" s="73">
        <f t="shared" si="11"/>
        <v>0</v>
      </c>
      <c r="R50" s="56">
        <f t="shared" si="11"/>
        <v>0</v>
      </c>
      <c r="S50" s="68">
        <f t="shared" si="1"/>
        <v>0</v>
      </c>
    </row>
    <row r="51" spans="1:19" x14ac:dyDescent="0.35">
      <c r="A51" s="66" t="s">
        <v>247</v>
      </c>
      <c r="B51" s="67" t="s">
        <v>248</v>
      </c>
      <c r="C51" s="66"/>
      <c r="D51" s="66">
        <f t="shared" ref="D51:R51" si="12">SUM(D50,D45)</f>
        <v>19</v>
      </c>
      <c r="E51" s="66">
        <f t="shared" si="12"/>
        <v>3</v>
      </c>
      <c r="F51" s="66">
        <f t="shared" si="12"/>
        <v>0</v>
      </c>
      <c r="G51" s="66">
        <f t="shared" si="12"/>
        <v>0</v>
      </c>
      <c r="H51" s="61">
        <f t="shared" si="12"/>
        <v>22</v>
      </c>
      <c r="I51" s="66">
        <f t="shared" si="12"/>
        <v>15</v>
      </c>
      <c r="J51" s="66">
        <f t="shared" si="12"/>
        <v>0</v>
      </c>
      <c r="K51" s="66">
        <f t="shared" si="12"/>
        <v>0</v>
      </c>
      <c r="L51" s="66">
        <f t="shared" si="12"/>
        <v>0</v>
      </c>
      <c r="M51" s="61">
        <f t="shared" si="12"/>
        <v>15</v>
      </c>
      <c r="N51" s="66">
        <f t="shared" si="12"/>
        <v>56</v>
      </c>
      <c r="O51" s="66">
        <f t="shared" si="12"/>
        <v>9</v>
      </c>
      <c r="P51" s="66">
        <f t="shared" si="12"/>
        <v>0</v>
      </c>
      <c r="Q51" s="66">
        <f t="shared" si="12"/>
        <v>0</v>
      </c>
      <c r="R51" s="61">
        <f t="shared" si="12"/>
        <v>65</v>
      </c>
      <c r="S51" s="68">
        <f t="shared" si="1"/>
        <v>102</v>
      </c>
    </row>
    <row r="52" spans="1:19" hidden="1" x14ac:dyDescent="0.35">
      <c r="A52" s="59" t="s">
        <v>251</v>
      </c>
      <c r="B52" s="54">
        <v>25</v>
      </c>
      <c r="C52" s="60" t="s">
        <v>225</v>
      </c>
      <c r="D52" s="60"/>
      <c r="E52" s="60"/>
      <c r="F52" s="60"/>
      <c r="G52" s="60"/>
      <c r="H52" s="61">
        <f>SUM(D52:G52)</f>
        <v>0</v>
      </c>
      <c r="I52" s="60"/>
      <c r="J52" s="60"/>
      <c r="K52" s="60"/>
      <c r="L52" s="60"/>
      <c r="M52" s="61">
        <f>SUM(I52:L52)</f>
        <v>0</v>
      </c>
      <c r="N52" s="60"/>
      <c r="O52" s="60"/>
      <c r="P52" s="60"/>
      <c r="Q52" s="60"/>
      <c r="R52" s="61">
        <f>SUM(N52:Q52)</f>
        <v>0</v>
      </c>
      <c r="S52" s="68">
        <f t="shared" si="1"/>
        <v>0</v>
      </c>
    </row>
    <row r="53" spans="1:19" hidden="1" x14ac:dyDescent="0.35">
      <c r="A53" s="112" t="s">
        <v>245</v>
      </c>
      <c r="B53" s="54"/>
      <c r="C53" s="63" t="s">
        <v>227</v>
      </c>
      <c r="D53" s="63"/>
      <c r="E53" s="63"/>
      <c r="F53" s="63"/>
      <c r="G53" s="63"/>
      <c r="H53" s="61">
        <f>SUM(D53:G53)</f>
        <v>0</v>
      </c>
      <c r="I53" s="63"/>
      <c r="J53" s="63"/>
      <c r="K53" s="63"/>
      <c r="L53" s="63"/>
      <c r="M53" s="61">
        <f>SUM(I53:L53)</f>
        <v>0</v>
      </c>
      <c r="N53" s="63"/>
      <c r="O53" s="63"/>
      <c r="P53" s="63"/>
      <c r="Q53" s="63"/>
      <c r="R53" s="61">
        <f>SUM(N53:Q53)</f>
        <v>0</v>
      </c>
      <c r="S53" s="68">
        <f t="shared" si="1"/>
        <v>0</v>
      </c>
    </row>
    <row r="54" spans="1:19" hidden="1" x14ac:dyDescent="0.35">
      <c r="A54" s="112"/>
      <c r="B54" s="54"/>
      <c r="C54" s="60" t="s">
        <v>228</v>
      </c>
      <c r="D54" s="60"/>
      <c r="E54" s="60"/>
      <c r="F54" s="60"/>
      <c r="G54" s="60"/>
      <c r="H54" s="61">
        <f>SUM(D54:G54)</f>
        <v>0</v>
      </c>
      <c r="I54" s="60"/>
      <c r="J54" s="60"/>
      <c r="K54" s="60"/>
      <c r="L54" s="60"/>
      <c r="M54" s="61">
        <f>SUM(I54:L54)</f>
        <v>0</v>
      </c>
      <c r="N54" s="60"/>
      <c r="O54" s="60"/>
      <c r="P54" s="60"/>
      <c r="Q54" s="60"/>
      <c r="R54" s="61">
        <f>SUM(N54:Q54)</f>
        <v>0</v>
      </c>
      <c r="S54" s="68">
        <f t="shared" si="1"/>
        <v>0</v>
      </c>
    </row>
    <row r="55" spans="1:19" hidden="1" x14ac:dyDescent="0.35">
      <c r="B55" s="54"/>
      <c r="C55" s="63" t="s">
        <v>235</v>
      </c>
      <c r="D55" s="63"/>
      <c r="E55" s="63"/>
      <c r="F55" s="63"/>
      <c r="G55" s="63"/>
      <c r="H55" s="61">
        <f>SUM(D55:G55)</f>
        <v>0</v>
      </c>
      <c r="I55" s="63"/>
      <c r="J55" s="63"/>
      <c r="K55" s="63"/>
      <c r="L55" s="63"/>
      <c r="M55" s="61">
        <f>SUM(I55:L55)</f>
        <v>0</v>
      </c>
      <c r="N55" s="63">
        <v>4</v>
      </c>
      <c r="O55" s="63"/>
      <c r="P55" s="63"/>
      <c r="Q55" s="63"/>
      <c r="R55" s="61">
        <f>SUM(N55:Q55)</f>
        <v>4</v>
      </c>
      <c r="S55" s="68">
        <f t="shared" si="1"/>
        <v>4</v>
      </c>
    </row>
    <row r="56" spans="1:19" x14ac:dyDescent="0.35">
      <c r="A56" s="66" t="s">
        <v>252</v>
      </c>
      <c r="B56" s="67">
        <v>25</v>
      </c>
      <c r="C56" s="66"/>
      <c r="D56" s="66">
        <f t="shared" ref="D56:R56" si="13">SUM(D52:D55)</f>
        <v>0</v>
      </c>
      <c r="E56" s="66">
        <f t="shared" si="13"/>
        <v>0</v>
      </c>
      <c r="F56" s="66">
        <f t="shared" si="13"/>
        <v>0</v>
      </c>
      <c r="G56" s="66">
        <f t="shared" si="13"/>
        <v>0</v>
      </c>
      <c r="H56" s="61">
        <f t="shared" si="13"/>
        <v>0</v>
      </c>
      <c r="I56" s="66">
        <f t="shared" si="13"/>
        <v>0</v>
      </c>
      <c r="J56" s="66">
        <f t="shared" si="13"/>
        <v>0</v>
      </c>
      <c r="K56" s="66">
        <f t="shared" si="13"/>
        <v>0</v>
      </c>
      <c r="L56" s="66">
        <f t="shared" si="13"/>
        <v>0</v>
      </c>
      <c r="M56" s="61">
        <f t="shared" si="13"/>
        <v>0</v>
      </c>
      <c r="N56" s="66">
        <f t="shared" si="13"/>
        <v>4</v>
      </c>
      <c r="O56" s="66">
        <f t="shared" si="13"/>
        <v>0</v>
      </c>
      <c r="P56" s="66">
        <f t="shared" si="13"/>
        <v>0</v>
      </c>
      <c r="Q56" s="66">
        <f t="shared" si="13"/>
        <v>0</v>
      </c>
      <c r="R56" s="61">
        <f t="shared" si="13"/>
        <v>4</v>
      </c>
      <c r="S56" s="68">
        <f t="shared" si="1"/>
        <v>4</v>
      </c>
    </row>
    <row r="57" spans="1:19" hidden="1" x14ac:dyDescent="0.35">
      <c r="A57" s="59" t="s">
        <v>403</v>
      </c>
      <c r="B57" s="54" t="s">
        <v>255</v>
      </c>
      <c r="C57" s="60" t="s">
        <v>225</v>
      </c>
      <c r="D57" s="60"/>
      <c r="E57" s="60"/>
      <c r="F57" s="60"/>
      <c r="G57" s="60"/>
      <c r="H57" s="61">
        <f>SUM(D57:G57)</f>
        <v>0</v>
      </c>
      <c r="I57" s="60"/>
      <c r="J57" s="60"/>
      <c r="K57" s="60"/>
      <c r="L57" s="60"/>
      <c r="M57" s="61">
        <f>SUM(I57:L57)</f>
        <v>0</v>
      </c>
      <c r="N57" s="60"/>
      <c r="O57" s="60"/>
      <c r="P57" s="60"/>
      <c r="Q57" s="60"/>
      <c r="R57" s="61">
        <f>SUM(N57:Q57)</f>
        <v>0</v>
      </c>
      <c r="S57" s="68">
        <f t="shared" si="1"/>
        <v>0</v>
      </c>
    </row>
    <row r="58" spans="1:19" hidden="1" x14ac:dyDescent="0.35">
      <c r="A58" s="111" t="s">
        <v>254</v>
      </c>
      <c r="B58" s="54"/>
      <c r="C58" s="63" t="s">
        <v>227</v>
      </c>
      <c r="D58" s="63"/>
      <c r="E58" s="63"/>
      <c r="F58" s="63"/>
      <c r="G58" s="63"/>
      <c r="H58" s="61">
        <f>SUM(D58:G58)</f>
        <v>0</v>
      </c>
      <c r="I58" s="63"/>
      <c r="J58" s="63"/>
      <c r="K58" s="63"/>
      <c r="L58" s="63"/>
      <c r="M58" s="61">
        <f>SUM(I58:L58)</f>
        <v>0</v>
      </c>
      <c r="N58" s="63"/>
      <c r="O58" s="63"/>
      <c r="P58" s="63"/>
      <c r="Q58" s="63"/>
      <c r="R58" s="61">
        <f>SUM(N58:Q58)</f>
        <v>0</v>
      </c>
      <c r="S58" s="68">
        <f t="shared" si="1"/>
        <v>0</v>
      </c>
    </row>
    <row r="59" spans="1:19" hidden="1" x14ac:dyDescent="0.35">
      <c r="A59" s="111"/>
      <c r="B59" s="54"/>
      <c r="C59" s="60" t="s">
        <v>228</v>
      </c>
      <c r="D59" s="60"/>
      <c r="E59" s="60"/>
      <c r="F59" s="60"/>
      <c r="G59" s="60"/>
      <c r="H59" s="61">
        <f>SUM(D59:G59)</f>
        <v>0</v>
      </c>
      <c r="I59" s="60"/>
      <c r="J59" s="60"/>
      <c r="K59" s="60"/>
      <c r="L59" s="60"/>
      <c r="M59" s="61">
        <f>SUM(I59:L59)</f>
        <v>0</v>
      </c>
      <c r="N59" s="60"/>
      <c r="O59" s="60"/>
      <c r="P59" s="60"/>
      <c r="Q59" s="60"/>
      <c r="R59" s="61">
        <f>SUM(N59:Q59)</f>
        <v>0</v>
      </c>
      <c r="S59" s="68">
        <f t="shared" si="1"/>
        <v>0</v>
      </c>
    </row>
    <row r="60" spans="1:19" hidden="1" x14ac:dyDescent="0.35">
      <c r="B60" s="54"/>
      <c r="C60" s="63" t="s">
        <v>235</v>
      </c>
      <c r="D60" s="63"/>
      <c r="E60" s="63"/>
      <c r="F60" s="63"/>
      <c r="G60" s="63"/>
      <c r="H60" s="61">
        <f>SUM(D60:G60)</f>
        <v>0</v>
      </c>
      <c r="I60" s="63"/>
      <c r="J60" s="63"/>
      <c r="K60" s="63"/>
      <c r="L60" s="63"/>
      <c r="M60" s="61">
        <f>SUM(I60:L60)</f>
        <v>0</v>
      </c>
      <c r="N60" s="63"/>
      <c r="O60" s="63"/>
      <c r="P60" s="63"/>
      <c r="Q60" s="63"/>
      <c r="R60" s="61">
        <f>SUM(N60:Q60)</f>
        <v>0</v>
      </c>
      <c r="S60" s="68">
        <f t="shared" si="1"/>
        <v>0</v>
      </c>
    </row>
    <row r="61" spans="1:19" x14ac:dyDescent="0.35">
      <c r="A61" s="66" t="s">
        <v>403</v>
      </c>
      <c r="B61" s="67" t="s">
        <v>255</v>
      </c>
      <c r="C61" s="66"/>
      <c r="D61" s="66">
        <f t="shared" ref="D61:R61" si="14">SUM(D57:D60)</f>
        <v>0</v>
      </c>
      <c r="E61" s="66">
        <f t="shared" si="14"/>
        <v>0</v>
      </c>
      <c r="F61" s="66">
        <f t="shared" si="14"/>
        <v>0</v>
      </c>
      <c r="G61" s="66">
        <f t="shared" si="14"/>
        <v>0</v>
      </c>
      <c r="H61" s="61">
        <f t="shared" si="14"/>
        <v>0</v>
      </c>
      <c r="I61" s="66">
        <f t="shared" si="14"/>
        <v>0</v>
      </c>
      <c r="J61" s="66">
        <f t="shared" si="14"/>
        <v>0</v>
      </c>
      <c r="K61" s="66">
        <f t="shared" si="14"/>
        <v>0</v>
      </c>
      <c r="L61" s="66">
        <f t="shared" si="14"/>
        <v>0</v>
      </c>
      <c r="M61" s="61">
        <f t="shared" si="14"/>
        <v>0</v>
      </c>
      <c r="N61" s="66">
        <f t="shared" si="14"/>
        <v>0</v>
      </c>
      <c r="O61" s="66">
        <f t="shared" si="14"/>
        <v>0</v>
      </c>
      <c r="P61" s="66">
        <f t="shared" si="14"/>
        <v>0</v>
      </c>
      <c r="Q61" s="66">
        <f t="shared" si="14"/>
        <v>0</v>
      </c>
      <c r="R61" s="61">
        <f t="shared" si="14"/>
        <v>0</v>
      </c>
      <c r="S61" s="68">
        <f t="shared" si="1"/>
        <v>0</v>
      </c>
    </row>
    <row r="62" spans="1:19" hidden="1" x14ac:dyDescent="0.35">
      <c r="A62" s="59" t="s">
        <v>256</v>
      </c>
      <c r="B62" s="54">
        <v>25</v>
      </c>
      <c r="C62" s="60" t="s">
        <v>225</v>
      </c>
      <c r="D62" s="60">
        <v>1</v>
      </c>
      <c r="E62" s="60"/>
      <c r="F62" s="60"/>
      <c r="G62" s="60"/>
      <c r="H62" s="61">
        <f>SUM(D62:G62)</f>
        <v>1</v>
      </c>
      <c r="I62" s="60">
        <v>8</v>
      </c>
      <c r="J62" s="60"/>
      <c r="K62" s="60"/>
      <c r="L62" s="60"/>
      <c r="M62" s="61">
        <f>SUM(I62:L62)</f>
        <v>8</v>
      </c>
      <c r="N62" s="60"/>
      <c r="O62" s="60"/>
      <c r="P62" s="60"/>
      <c r="Q62" s="60"/>
      <c r="R62" s="61">
        <f>SUM(N62:Q62)</f>
        <v>0</v>
      </c>
      <c r="S62" s="68">
        <f t="shared" si="1"/>
        <v>9</v>
      </c>
    </row>
    <row r="63" spans="1:19" hidden="1" x14ac:dyDescent="0.35">
      <c r="A63" s="112" t="s">
        <v>257</v>
      </c>
      <c r="B63" s="54"/>
      <c r="C63" s="63" t="s">
        <v>227</v>
      </c>
      <c r="D63" s="63"/>
      <c r="E63" s="63"/>
      <c r="F63" s="63"/>
      <c r="G63" s="63"/>
      <c r="H63" s="61">
        <f>SUM(D63:G63)</f>
        <v>0</v>
      </c>
      <c r="I63" s="63">
        <v>3</v>
      </c>
      <c r="J63" s="63"/>
      <c r="K63" s="63"/>
      <c r="L63" s="63"/>
      <c r="M63" s="61">
        <f>SUM(I63:L63)</f>
        <v>3</v>
      </c>
      <c r="N63" s="63">
        <v>4</v>
      </c>
      <c r="O63" s="63"/>
      <c r="P63" s="63"/>
      <c r="Q63" s="63"/>
      <c r="R63" s="61">
        <f>SUM(N63:Q63)</f>
        <v>4</v>
      </c>
      <c r="S63" s="68">
        <f t="shared" si="1"/>
        <v>7</v>
      </c>
    </row>
    <row r="64" spans="1:19" hidden="1" x14ac:dyDescent="0.35">
      <c r="A64" s="112"/>
      <c r="B64" s="54"/>
      <c r="C64" s="60" t="s">
        <v>228</v>
      </c>
      <c r="D64" s="60">
        <v>1</v>
      </c>
      <c r="E64" s="60"/>
      <c r="F64" s="60"/>
      <c r="G64" s="60"/>
      <c r="H64" s="61">
        <f>SUM(D64:G64)</f>
        <v>1</v>
      </c>
      <c r="I64" s="60">
        <v>3</v>
      </c>
      <c r="J64" s="60"/>
      <c r="K64" s="60"/>
      <c r="L64" s="60"/>
      <c r="M64" s="61">
        <f>SUM(I64:L64)</f>
        <v>3</v>
      </c>
      <c r="N64" s="60">
        <v>9</v>
      </c>
      <c r="O64" s="60"/>
      <c r="P64" s="60"/>
      <c r="Q64" s="60"/>
      <c r="R64" s="61">
        <f>SUM(N64:Q64)</f>
        <v>9</v>
      </c>
      <c r="S64" s="68">
        <f t="shared" si="1"/>
        <v>13</v>
      </c>
    </row>
    <row r="65" spans="1:19" hidden="1" x14ac:dyDescent="0.35">
      <c r="B65" s="54"/>
      <c r="C65" s="63" t="s">
        <v>235</v>
      </c>
      <c r="D65" s="63">
        <v>7</v>
      </c>
      <c r="E65" s="63"/>
      <c r="F65" s="63"/>
      <c r="G65" s="63"/>
      <c r="H65" s="61">
        <f>SUM(D65:G65)</f>
        <v>7</v>
      </c>
      <c r="I65" s="63">
        <v>3</v>
      </c>
      <c r="J65" s="63"/>
      <c r="K65" s="63"/>
      <c r="L65" s="63"/>
      <c r="M65" s="61">
        <f>SUM(I65:L65)</f>
        <v>3</v>
      </c>
      <c r="N65" s="63">
        <v>1</v>
      </c>
      <c r="O65" s="63"/>
      <c r="P65" s="63"/>
      <c r="Q65" s="63"/>
      <c r="R65" s="61">
        <f>SUM(N65:Q65)</f>
        <v>1</v>
      </c>
      <c r="S65" s="68">
        <f t="shared" si="1"/>
        <v>11</v>
      </c>
    </row>
    <row r="66" spans="1:19" x14ac:dyDescent="0.35">
      <c r="A66" s="66" t="s">
        <v>258</v>
      </c>
      <c r="B66" s="67">
        <v>25</v>
      </c>
      <c r="C66" s="66"/>
      <c r="D66" s="66">
        <f t="shared" ref="D66:R66" si="15">SUM(D62:D65)</f>
        <v>9</v>
      </c>
      <c r="E66" s="66">
        <f t="shared" si="15"/>
        <v>0</v>
      </c>
      <c r="F66" s="66">
        <f t="shared" si="15"/>
        <v>0</v>
      </c>
      <c r="G66" s="66">
        <f t="shared" si="15"/>
        <v>0</v>
      </c>
      <c r="H66" s="61">
        <f t="shared" si="15"/>
        <v>9</v>
      </c>
      <c r="I66" s="66">
        <f t="shared" si="15"/>
        <v>17</v>
      </c>
      <c r="J66" s="66">
        <f t="shared" si="15"/>
        <v>0</v>
      </c>
      <c r="K66" s="66">
        <f t="shared" si="15"/>
        <v>0</v>
      </c>
      <c r="L66" s="66">
        <f t="shared" si="15"/>
        <v>0</v>
      </c>
      <c r="M66" s="61">
        <f t="shared" si="15"/>
        <v>17</v>
      </c>
      <c r="N66" s="66">
        <f t="shared" si="15"/>
        <v>14</v>
      </c>
      <c r="O66" s="66">
        <f t="shared" si="15"/>
        <v>0</v>
      </c>
      <c r="P66" s="66">
        <f t="shared" si="15"/>
        <v>0</v>
      </c>
      <c r="Q66" s="66">
        <f t="shared" si="15"/>
        <v>0</v>
      </c>
      <c r="R66" s="61">
        <f t="shared" si="15"/>
        <v>14</v>
      </c>
      <c r="S66" s="68">
        <f t="shared" si="1"/>
        <v>40</v>
      </c>
    </row>
    <row r="67" spans="1:19" ht="15.75" hidden="1" customHeight="1" x14ac:dyDescent="0.35">
      <c r="A67" s="59" t="s">
        <v>259</v>
      </c>
      <c r="B67" s="54" t="s">
        <v>261</v>
      </c>
      <c r="C67" s="60" t="s">
        <v>225</v>
      </c>
      <c r="D67" s="60"/>
      <c r="E67" s="60"/>
      <c r="F67" s="60"/>
      <c r="G67" s="60"/>
      <c r="H67" s="61">
        <f>SUM(D67:G67)</f>
        <v>0</v>
      </c>
      <c r="I67" s="60">
        <v>2</v>
      </c>
      <c r="J67" s="60"/>
      <c r="K67" s="60"/>
      <c r="L67" s="60"/>
      <c r="M67" s="61">
        <f>SUM(I67:L67)</f>
        <v>2</v>
      </c>
      <c r="N67" s="60">
        <v>1</v>
      </c>
      <c r="O67" s="60"/>
      <c r="P67" s="60"/>
      <c r="Q67" s="60"/>
      <c r="R67" s="61">
        <f>SUM(N67:Q67)</f>
        <v>1</v>
      </c>
      <c r="S67" s="68">
        <f t="shared" si="1"/>
        <v>3</v>
      </c>
    </row>
    <row r="68" spans="1:19" hidden="1" x14ac:dyDescent="0.35">
      <c r="A68" s="112" t="s">
        <v>260</v>
      </c>
      <c r="B68" s="54"/>
      <c r="C68" s="63" t="s">
        <v>227</v>
      </c>
      <c r="D68" s="63"/>
      <c r="E68" s="63"/>
      <c r="F68" s="63"/>
      <c r="G68" s="63"/>
      <c r="H68" s="61">
        <f>SUM(D68:G68)</f>
        <v>0</v>
      </c>
      <c r="I68" s="63">
        <v>1</v>
      </c>
      <c r="J68" s="63"/>
      <c r="K68" s="63"/>
      <c r="L68" s="63"/>
      <c r="M68" s="61">
        <f>SUM(I68:L68)</f>
        <v>1</v>
      </c>
      <c r="N68" s="63">
        <v>3</v>
      </c>
      <c r="O68" s="63"/>
      <c r="P68" s="63"/>
      <c r="Q68" s="63"/>
      <c r="R68" s="61">
        <f>SUM(N68:Q68)</f>
        <v>3</v>
      </c>
      <c r="S68" s="68">
        <f t="shared" si="1"/>
        <v>4</v>
      </c>
    </row>
    <row r="69" spans="1:19" hidden="1" x14ac:dyDescent="0.35">
      <c r="A69" s="112"/>
      <c r="B69" s="54"/>
      <c r="C69" s="60" t="s">
        <v>228</v>
      </c>
      <c r="D69" s="60">
        <v>1</v>
      </c>
      <c r="E69" s="60"/>
      <c r="F69" s="60"/>
      <c r="G69" s="60"/>
      <c r="H69" s="61">
        <f>SUM(D69:G69)</f>
        <v>1</v>
      </c>
      <c r="I69" s="60">
        <v>2</v>
      </c>
      <c r="J69" s="60"/>
      <c r="K69" s="60"/>
      <c r="L69" s="60"/>
      <c r="M69" s="61">
        <f>SUM(I69:L69)</f>
        <v>2</v>
      </c>
      <c r="N69" s="60">
        <v>5</v>
      </c>
      <c r="O69" s="60"/>
      <c r="P69" s="60"/>
      <c r="Q69" s="60"/>
      <c r="R69" s="61">
        <f>SUM(N69:Q69)</f>
        <v>5</v>
      </c>
      <c r="S69" s="68">
        <f t="shared" ref="S69:S132" si="16">SUM(H69,M69,R69)</f>
        <v>8</v>
      </c>
    </row>
    <row r="70" spans="1:19" hidden="1" x14ac:dyDescent="0.35">
      <c r="B70" s="54"/>
      <c r="C70" s="63" t="s">
        <v>235</v>
      </c>
      <c r="D70" s="63"/>
      <c r="E70" s="63"/>
      <c r="F70" s="63"/>
      <c r="G70" s="63"/>
      <c r="H70" s="61">
        <f>SUM(D70:G70)</f>
        <v>0</v>
      </c>
      <c r="I70" s="63">
        <v>1</v>
      </c>
      <c r="J70" s="63"/>
      <c r="K70" s="63"/>
      <c r="L70" s="63"/>
      <c r="M70" s="61">
        <f>SUM(I70:L70)</f>
        <v>1</v>
      </c>
      <c r="N70" s="63">
        <v>11</v>
      </c>
      <c r="O70" s="63"/>
      <c r="P70" s="63"/>
      <c r="Q70" s="63"/>
      <c r="R70" s="61">
        <f>SUM(N70:Q70)</f>
        <v>11</v>
      </c>
      <c r="S70" s="68">
        <f t="shared" si="16"/>
        <v>12</v>
      </c>
    </row>
    <row r="71" spans="1:19" x14ac:dyDescent="0.35">
      <c r="A71" s="66" t="s">
        <v>259</v>
      </c>
      <c r="B71" s="67" t="s">
        <v>261</v>
      </c>
      <c r="C71" s="66"/>
      <c r="D71" s="66">
        <f t="shared" ref="D71:R71" si="17">SUM(D67:D70)</f>
        <v>1</v>
      </c>
      <c r="E71" s="66">
        <f t="shared" si="17"/>
        <v>0</v>
      </c>
      <c r="F71" s="66">
        <f t="shared" si="17"/>
        <v>0</v>
      </c>
      <c r="G71" s="66">
        <f t="shared" si="17"/>
        <v>0</v>
      </c>
      <c r="H71" s="61">
        <f t="shared" si="17"/>
        <v>1</v>
      </c>
      <c r="I71" s="66">
        <f t="shared" si="17"/>
        <v>6</v>
      </c>
      <c r="J71" s="66">
        <f t="shared" si="17"/>
        <v>0</v>
      </c>
      <c r="K71" s="66">
        <f t="shared" si="17"/>
        <v>0</v>
      </c>
      <c r="L71" s="66">
        <f t="shared" si="17"/>
        <v>0</v>
      </c>
      <c r="M71" s="61">
        <f t="shared" si="17"/>
        <v>6</v>
      </c>
      <c r="N71" s="66">
        <f t="shared" si="17"/>
        <v>20</v>
      </c>
      <c r="O71" s="66">
        <f t="shared" si="17"/>
        <v>0</v>
      </c>
      <c r="P71" s="66">
        <f t="shared" si="17"/>
        <v>0</v>
      </c>
      <c r="Q71" s="66">
        <f t="shared" si="17"/>
        <v>0</v>
      </c>
      <c r="R71" s="61">
        <f t="shared" si="17"/>
        <v>20</v>
      </c>
      <c r="S71" s="68">
        <f t="shared" si="16"/>
        <v>27</v>
      </c>
    </row>
    <row r="72" spans="1:19" hidden="1" x14ac:dyDescent="0.35">
      <c r="A72" s="59" t="s">
        <v>262</v>
      </c>
      <c r="B72" s="54">
        <v>30</v>
      </c>
      <c r="C72" s="60" t="s">
        <v>225</v>
      </c>
      <c r="D72" s="60"/>
      <c r="E72" s="60"/>
      <c r="F72" s="60"/>
      <c r="G72" s="60"/>
      <c r="H72" s="61">
        <f>SUM(D72:G72)</f>
        <v>0</v>
      </c>
      <c r="I72" s="60"/>
      <c r="J72" s="60"/>
      <c r="K72" s="60"/>
      <c r="L72" s="60"/>
      <c r="M72" s="61">
        <f>SUM(I72:L72)</f>
        <v>0</v>
      </c>
      <c r="N72" s="60"/>
      <c r="O72" s="60"/>
      <c r="P72" s="60"/>
      <c r="Q72" s="60"/>
      <c r="R72" s="61">
        <f>SUM(N72:Q72)</f>
        <v>0</v>
      </c>
      <c r="S72" s="68">
        <f t="shared" si="16"/>
        <v>0</v>
      </c>
    </row>
    <row r="73" spans="1:19" hidden="1" x14ac:dyDescent="0.35">
      <c r="A73" s="112" t="s">
        <v>263</v>
      </c>
      <c r="B73" s="54"/>
      <c r="C73" s="63" t="s">
        <v>227</v>
      </c>
      <c r="D73" s="63"/>
      <c r="E73" s="63"/>
      <c r="F73" s="63"/>
      <c r="G73" s="63"/>
      <c r="H73" s="61">
        <f>SUM(D73:G73)</f>
        <v>0</v>
      </c>
      <c r="I73" s="63"/>
      <c r="J73" s="63"/>
      <c r="K73" s="63"/>
      <c r="L73" s="63"/>
      <c r="M73" s="61">
        <f>SUM(I73:L73)</f>
        <v>0</v>
      </c>
      <c r="N73" s="63"/>
      <c r="O73" s="63"/>
      <c r="P73" s="63"/>
      <c r="Q73" s="63"/>
      <c r="R73" s="61">
        <f>SUM(N73:Q73)</f>
        <v>0</v>
      </c>
      <c r="S73" s="68">
        <f t="shared" si="16"/>
        <v>0</v>
      </c>
    </row>
    <row r="74" spans="1:19" hidden="1" x14ac:dyDescent="0.35">
      <c r="A74" s="112"/>
      <c r="B74" s="54"/>
      <c r="C74" s="60" t="s">
        <v>228</v>
      </c>
      <c r="D74" s="60"/>
      <c r="E74" s="60"/>
      <c r="F74" s="60"/>
      <c r="G74" s="60"/>
      <c r="H74" s="61">
        <f>SUM(D74:G74)</f>
        <v>0</v>
      </c>
      <c r="I74" s="60"/>
      <c r="J74" s="60"/>
      <c r="K74" s="60"/>
      <c r="L74" s="60"/>
      <c r="M74" s="61">
        <f>SUM(I74:L74)</f>
        <v>0</v>
      </c>
      <c r="N74" s="60"/>
      <c r="O74" s="60"/>
      <c r="P74" s="60"/>
      <c r="Q74" s="60"/>
      <c r="R74" s="61">
        <f>SUM(N74:Q74)</f>
        <v>0</v>
      </c>
      <c r="S74" s="68">
        <f t="shared" si="16"/>
        <v>0</v>
      </c>
    </row>
    <row r="75" spans="1:19" hidden="1" x14ac:dyDescent="0.35">
      <c r="B75" s="54"/>
      <c r="C75" s="63" t="s">
        <v>235</v>
      </c>
      <c r="D75" s="63"/>
      <c r="E75" s="63"/>
      <c r="F75" s="63"/>
      <c r="G75" s="63"/>
      <c r="H75" s="61">
        <f>SUM(D75:G75)</f>
        <v>0</v>
      </c>
      <c r="I75" s="63"/>
      <c r="J75" s="63"/>
      <c r="K75" s="63"/>
      <c r="L75" s="63"/>
      <c r="M75" s="61">
        <f>SUM(I75:L75)</f>
        <v>0</v>
      </c>
      <c r="N75" s="63"/>
      <c r="O75" s="63"/>
      <c r="P75" s="63"/>
      <c r="Q75" s="63"/>
      <c r="R75" s="61">
        <f>SUM(N75:Q75)</f>
        <v>0</v>
      </c>
      <c r="S75" s="68">
        <f t="shared" si="16"/>
        <v>0</v>
      </c>
    </row>
    <row r="76" spans="1:19" x14ac:dyDescent="0.35">
      <c r="A76" s="66" t="s">
        <v>262</v>
      </c>
      <c r="B76" s="67">
        <v>30</v>
      </c>
      <c r="C76" s="66"/>
      <c r="D76" s="66">
        <f t="shared" ref="D76:R76" si="18">SUM(D72:D75)</f>
        <v>0</v>
      </c>
      <c r="E76" s="66">
        <f t="shared" si="18"/>
        <v>0</v>
      </c>
      <c r="F76" s="66">
        <f t="shared" si="18"/>
        <v>0</v>
      </c>
      <c r="G76" s="66">
        <f t="shared" si="18"/>
        <v>0</v>
      </c>
      <c r="H76" s="61">
        <f t="shared" si="18"/>
        <v>0</v>
      </c>
      <c r="I76" s="66">
        <f t="shared" si="18"/>
        <v>0</v>
      </c>
      <c r="J76" s="66">
        <f t="shared" si="18"/>
        <v>0</v>
      </c>
      <c r="K76" s="66">
        <f t="shared" si="18"/>
        <v>0</v>
      </c>
      <c r="L76" s="66">
        <f t="shared" si="18"/>
        <v>0</v>
      </c>
      <c r="M76" s="61">
        <f t="shared" si="18"/>
        <v>0</v>
      </c>
      <c r="N76" s="66">
        <f t="shared" si="18"/>
        <v>0</v>
      </c>
      <c r="O76" s="66">
        <f t="shared" si="18"/>
        <v>0</v>
      </c>
      <c r="P76" s="66">
        <f t="shared" si="18"/>
        <v>0</v>
      </c>
      <c r="Q76" s="66">
        <f t="shared" si="18"/>
        <v>0</v>
      </c>
      <c r="R76" s="61">
        <f t="shared" si="18"/>
        <v>0</v>
      </c>
      <c r="S76" s="68">
        <f t="shared" si="16"/>
        <v>0</v>
      </c>
    </row>
    <row r="77" spans="1:19" hidden="1" x14ac:dyDescent="0.35">
      <c r="A77" s="59" t="s">
        <v>264</v>
      </c>
      <c r="B77" s="54">
        <v>30</v>
      </c>
      <c r="C77" s="60" t="s">
        <v>225</v>
      </c>
      <c r="D77" s="60"/>
      <c r="E77" s="60"/>
      <c r="F77" s="60"/>
      <c r="G77" s="60"/>
      <c r="H77" s="61">
        <f>SUM(D77:G77)</f>
        <v>0</v>
      </c>
      <c r="I77" s="60"/>
      <c r="J77" s="60"/>
      <c r="K77" s="60"/>
      <c r="L77" s="60"/>
      <c r="M77" s="61">
        <f>SUM(I77:L77)</f>
        <v>0</v>
      </c>
      <c r="N77" s="60"/>
      <c r="O77" s="60"/>
      <c r="P77" s="60"/>
      <c r="Q77" s="60"/>
      <c r="R77" s="61">
        <f>SUM(N77:Q77)</f>
        <v>0</v>
      </c>
      <c r="S77" s="68">
        <f t="shared" si="16"/>
        <v>0</v>
      </c>
    </row>
    <row r="78" spans="1:19" hidden="1" x14ac:dyDescent="0.35">
      <c r="A78" s="112" t="s">
        <v>263</v>
      </c>
      <c r="B78" s="54"/>
      <c r="C78" s="63" t="s">
        <v>227</v>
      </c>
      <c r="D78" s="63"/>
      <c r="E78" s="63"/>
      <c r="F78" s="63"/>
      <c r="G78" s="63"/>
      <c r="H78" s="61">
        <f>SUM(D78:G78)</f>
        <v>0</v>
      </c>
      <c r="I78" s="63"/>
      <c r="J78" s="63"/>
      <c r="K78" s="63"/>
      <c r="L78" s="63"/>
      <c r="M78" s="61">
        <f>SUM(I78:L78)</f>
        <v>0</v>
      </c>
      <c r="N78" s="63"/>
      <c r="O78" s="63"/>
      <c r="P78" s="63"/>
      <c r="Q78" s="63"/>
      <c r="R78" s="61">
        <f>SUM(N78:Q78)</f>
        <v>0</v>
      </c>
      <c r="S78" s="68">
        <f t="shared" si="16"/>
        <v>0</v>
      </c>
    </row>
    <row r="79" spans="1:19" hidden="1" x14ac:dyDescent="0.35">
      <c r="A79" s="112"/>
      <c r="B79" s="54"/>
      <c r="C79" s="60" t="s">
        <v>228</v>
      </c>
      <c r="D79" s="60"/>
      <c r="E79" s="60"/>
      <c r="F79" s="60"/>
      <c r="G79" s="60"/>
      <c r="H79" s="61">
        <f>SUM(D79:G79)</f>
        <v>0</v>
      </c>
      <c r="I79" s="60"/>
      <c r="J79" s="60"/>
      <c r="K79" s="60"/>
      <c r="L79" s="60"/>
      <c r="M79" s="61">
        <f>SUM(I79:L79)</f>
        <v>0</v>
      </c>
      <c r="N79" s="60"/>
      <c r="O79" s="60"/>
      <c r="P79" s="60"/>
      <c r="Q79" s="60"/>
      <c r="R79" s="61">
        <f>SUM(N79:Q79)</f>
        <v>0</v>
      </c>
      <c r="S79" s="68">
        <f t="shared" si="16"/>
        <v>0</v>
      </c>
    </row>
    <row r="80" spans="1:19" hidden="1" x14ac:dyDescent="0.35">
      <c r="B80" s="54"/>
      <c r="C80" s="63" t="s">
        <v>235</v>
      </c>
      <c r="D80" s="63"/>
      <c r="E80" s="63"/>
      <c r="F80" s="63"/>
      <c r="G80" s="63"/>
      <c r="H80" s="61">
        <f>SUM(D80:G80)</f>
        <v>0</v>
      </c>
      <c r="I80" s="63"/>
      <c r="J80" s="63"/>
      <c r="K80" s="63"/>
      <c r="L80" s="63"/>
      <c r="M80" s="61">
        <f>SUM(I80:L80)</f>
        <v>0</v>
      </c>
      <c r="N80" s="63"/>
      <c r="O80" s="63"/>
      <c r="P80" s="63"/>
      <c r="Q80" s="63"/>
      <c r="R80" s="61">
        <f>SUM(N80:Q80)</f>
        <v>0</v>
      </c>
      <c r="S80" s="68">
        <f t="shared" si="16"/>
        <v>0</v>
      </c>
    </row>
    <row r="81" spans="1:19" x14ac:dyDescent="0.35">
      <c r="A81" s="66" t="s">
        <v>264</v>
      </c>
      <c r="B81" s="67">
        <v>30</v>
      </c>
      <c r="C81" s="66"/>
      <c r="D81" s="66">
        <f t="shared" ref="D81:R81" si="19">SUM(D77:D80)</f>
        <v>0</v>
      </c>
      <c r="E81" s="66">
        <f t="shared" si="19"/>
        <v>0</v>
      </c>
      <c r="F81" s="66">
        <f t="shared" si="19"/>
        <v>0</v>
      </c>
      <c r="G81" s="66">
        <f t="shared" si="19"/>
        <v>0</v>
      </c>
      <c r="H81" s="61">
        <f t="shared" si="19"/>
        <v>0</v>
      </c>
      <c r="I81" s="66">
        <f t="shared" si="19"/>
        <v>0</v>
      </c>
      <c r="J81" s="66">
        <f t="shared" si="19"/>
        <v>0</v>
      </c>
      <c r="K81" s="66">
        <f t="shared" si="19"/>
        <v>0</v>
      </c>
      <c r="L81" s="66">
        <f t="shared" si="19"/>
        <v>0</v>
      </c>
      <c r="M81" s="61">
        <f t="shared" si="19"/>
        <v>0</v>
      </c>
      <c r="N81" s="66">
        <f t="shared" si="19"/>
        <v>0</v>
      </c>
      <c r="O81" s="66">
        <f t="shared" si="19"/>
        <v>0</v>
      </c>
      <c r="P81" s="66">
        <f t="shared" si="19"/>
        <v>0</v>
      </c>
      <c r="Q81" s="66">
        <f t="shared" si="19"/>
        <v>0</v>
      </c>
      <c r="R81" s="61">
        <f t="shared" si="19"/>
        <v>0</v>
      </c>
      <c r="S81" s="68">
        <f t="shared" si="16"/>
        <v>0</v>
      </c>
    </row>
    <row r="82" spans="1:19" hidden="1" x14ac:dyDescent="0.35">
      <c r="A82" s="59" t="s">
        <v>265</v>
      </c>
      <c r="B82" s="54" t="s">
        <v>266</v>
      </c>
      <c r="C82" s="60" t="s">
        <v>225</v>
      </c>
      <c r="D82" s="60">
        <v>5</v>
      </c>
      <c r="E82" s="60"/>
      <c r="F82" s="60"/>
      <c r="G82" s="60"/>
      <c r="H82" s="61">
        <f>SUM(D82:G82)</f>
        <v>5</v>
      </c>
      <c r="I82" s="60">
        <v>5</v>
      </c>
      <c r="J82" s="60"/>
      <c r="K82" s="60"/>
      <c r="L82" s="60"/>
      <c r="M82" s="61">
        <f>SUM(I82:L82)</f>
        <v>5</v>
      </c>
      <c r="N82" s="60">
        <v>10</v>
      </c>
      <c r="O82" s="60"/>
      <c r="P82" s="60"/>
      <c r="Q82" s="60"/>
      <c r="R82" s="61">
        <f>SUM(N82:Q82)</f>
        <v>10</v>
      </c>
      <c r="S82" s="68">
        <f t="shared" si="16"/>
        <v>20</v>
      </c>
    </row>
    <row r="83" spans="1:19" hidden="1" x14ac:dyDescent="0.35">
      <c r="A83" s="112" t="s">
        <v>267</v>
      </c>
      <c r="B83" s="54"/>
      <c r="C83" s="63" t="s">
        <v>227</v>
      </c>
      <c r="D83" s="63">
        <v>2</v>
      </c>
      <c r="E83" s="63"/>
      <c r="F83" s="63"/>
      <c r="G83" s="63"/>
      <c r="H83" s="61">
        <f>SUM(D83:G83)</f>
        <v>2</v>
      </c>
      <c r="I83" s="63">
        <v>2</v>
      </c>
      <c r="J83" s="63"/>
      <c r="K83" s="63"/>
      <c r="L83" s="63"/>
      <c r="M83" s="61">
        <f>SUM(I83:L83)</f>
        <v>2</v>
      </c>
      <c r="N83" s="63">
        <v>18</v>
      </c>
      <c r="O83" s="63"/>
      <c r="P83" s="63"/>
      <c r="Q83" s="63"/>
      <c r="R83" s="61">
        <f>SUM(N83:Q83)</f>
        <v>18</v>
      </c>
      <c r="S83" s="68">
        <f t="shared" si="16"/>
        <v>22</v>
      </c>
    </row>
    <row r="84" spans="1:19" hidden="1" x14ac:dyDescent="0.35">
      <c r="A84" s="112"/>
      <c r="B84" s="54"/>
      <c r="C84" s="60" t="s">
        <v>228</v>
      </c>
      <c r="D84" s="60"/>
      <c r="E84" s="60"/>
      <c r="F84" s="60"/>
      <c r="G84" s="60"/>
      <c r="H84" s="61">
        <f>SUM(D84:G84)</f>
        <v>0</v>
      </c>
      <c r="I84" s="60">
        <v>3</v>
      </c>
      <c r="J84" s="60"/>
      <c r="K84" s="60"/>
      <c r="L84" s="60"/>
      <c r="M84" s="61">
        <f>SUM(I84:L84)</f>
        <v>3</v>
      </c>
      <c r="N84" s="60">
        <v>23</v>
      </c>
      <c r="O84" s="60"/>
      <c r="P84" s="60"/>
      <c r="Q84" s="60"/>
      <c r="R84" s="61">
        <f>SUM(N84:Q84)</f>
        <v>23</v>
      </c>
      <c r="S84" s="68">
        <f t="shared" si="16"/>
        <v>26</v>
      </c>
    </row>
    <row r="85" spans="1:19" hidden="1" x14ac:dyDescent="0.35">
      <c r="B85" s="54"/>
      <c r="C85" s="63" t="s">
        <v>235</v>
      </c>
      <c r="D85" s="63">
        <v>5</v>
      </c>
      <c r="E85" s="63"/>
      <c r="F85" s="63"/>
      <c r="G85" s="63"/>
      <c r="H85" s="61">
        <f>SUM(D85:G85)</f>
        <v>5</v>
      </c>
      <c r="I85" s="63">
        <v>10</v>
      </c>
      <c r="J85" s="63"/>
      <c r="K85" s="63"/>
      <c r="L85" s="63"/>
      <c r="M85" s="61">
        <f>SUM(I85:L85)</f>
        <v>10</v>
      </c>
      <c r="N85" s="63">
        <v>21</v>
      </c>
      <c r="O85" s="63"/>
      <c r="P85" s="63"/>
      <c r="Q85" s="63"/>
      <c r="R85" s="61">
        <f>SUM(N85:Q85)</f>
        <v>21</v>
      </c>
      <c r="S85" s="68">
        <f t="shared" si="16"/>
        <v>36</v>
      </c>
    </row>
    <row r="86" spans="1:19" x14ac:dyDescent="0.35">
      <c r="A86" s="66" t="s">
        <v>265</v>
      </c>
      <c r="B86" s="67" t="s">
        <v>266</v>
      </c>
      <c r="C86" s="66"/>
      <c r="D86" s="66">
        <f t="shared" ref="D86:R86" si="20">SUM(D82:D85)</f>
        <v>12</v>
      </c>
      <c r="E86" s="66">
        <f t="shared" si="20"/>
        <v>0</v>
      </c>
      <c r="F86" s="66">
        <f t="shared" si="20"/>
        <v>0</v>
      </c>
      <c r="G86" s="66">
        <f t="shared" si="20"/>
        <v>0</v>
      </c>
      <c r="H86" s="61">
        <f t="shared" si="20"/>
        <v>12</v>
      </c>
      <c r="I86" s="66">
        <f t="shared" si="20"/>
        <v>20</v>
      </c>
      <c r="J86" s="66">
        <f t="shared" si="20"/>
        <v>0</v>
      </c>
      <c r="K86" s="66">
        <f t="shared" si="20"/>
        <v>0</v>
      </c>
      <c r="L86" s="66">
        <f t="shared" si="20"/>
        <v>0</v>
      </c>
      <c r="M86" s="61">
        <f t="shared" si="20"/>
        <v>20</v>
      </c>
      <c r="N86" s="66">
        <f t="shared" si="20"/>
        <v>72</v>
      </c>
      <c r="O86" s="66">
        <f t="shared" si="20"/>
        <v>0</v>
      </c>
      <c r="P86" s="66">
        <f t="shared" si="20"/>
        <v>0</v>
      </c>
      <c r="Q86" s="66">
        <f t="shared" si="20"/>
        <v>0</v>
      </c>
      <c r="R86" s="61">
        <f t="shared" si="20"/>
        <v>72</v>
      </c>
      <c r="S86" s="68">
        <f t="shared" si="16"/>
        <v>104</v>
      </c>
    </row>
    <row r="87" spans="1:19" hidden="1" x14ac:dyDescent="0.35">
      <c r="A87" s="59" t="s">
        <v>268</v>
      </c>
      <c r="B87" s="54" t="s">
        <v>255</v>
      </c>
      <c r="C87" s="60" t="s">
        <v>225</v>
      </c>
      <c r="D87" s="60"/>
      <c r="E87" s="60"/>
      <c r="F87" s="60"/>
      <c r="G87" s="60"/>
      <c r="H87" s="61">
        <f>SUM(D87:G87)</f>
        <v>0</v>
      </c>
      <c r="I87" s="60"/>
      <c r="J87" s="60"/>
      <c r="K87" s="60"/>
      <c r="L87" s="60"/>
      <c r="M87" s="61">
        <f>SUM(I87:L87)</f>
        <v>0</v>
      </c>
      <c r="N87" s="60"/>
      <c r="O87" s="60"/>
      <c r="P87" s="60"/>
      <c r="Q87" s="60"/>
      <c r="R87" s="61">
        <f>SUM(N87:Q87)</f>
        <v>0</v>
      </c>
      <c r="S87" s="68">
        <f t="shared" si="16"/>
        <v>0</v>
      </c>
    </row>
    <row r="88" spans="1:19" hidden="1" x14ac:dyDescent="0.35">
      <c r="A88" s="111" t="s">
        <v>254</v>
      </c>
      <c r="B88" s="54"/>
      <c r="C88" s="63" t="s">
        <v>227</v>
      </c>
      <c r="D88" s="63"/>
      <c r="E88" s="63"/>
      <c r="F88" s="63"/>
      <c r="G88" s="63"/>
      <c r="H88" s="61">
        <f>SUM(D88:G88)</f>
        <v>0</v>
      </c>
      <c r="I88" s="63"/>
      <c r="J88" s="63"/>
      <c r="K88" s="63"/>
      <c r="L88" s="63"/>
      <c r="M88" s="61">
        <f>SUM(I88:L88)</f>
        <v>0</v>
      </c>
      <c r="N88" s="63"/>
      <c r="O88" s="63"/>
      <c r="P88" s="63"/>
      <c r="Q88" s="63"/>
      <c r="R88" s="61">
        <f>SUM(N88:Q88)</f>
        <v>0</v>
      </c>
      <c r="S88" s="68">
        <f t="shared" si="16"/>
        <v>0</v>
      </c>
    </row>
    <row r="89" spans="1:19" hidden="1" x14ac:dyDescent="0.35">
      <c r="A89" s="111"/>
      <c r="B89" s="54"/>
      <c r="C89" s="60" t="s">
        <v>228</v>
      </c>
      <c r="D89" s="60"/>
      <c r="E89" s="60"/>
      <c r="F89" s="60"/>
      <c r="G89" s="60"/>
      <c r="H89" s="61">
        <f>SUM(D89:G89)</f>
        <v>0</v>
      </c>
      <c r="I89" s="60"/>
      <c r="J89" s="60"/>
      <c r="K89" s="60"/>
      <c r="L89" s="60"/>
      <c r="M89" s="61">
        <f>SUM(I89:L89)</f>
        <v>0</v>
      </c>
      <c r="N89" s="60"/>
      <c r="O89" s="60"/>
      <c r="P89" s="60"/>
      <c r="Q89" s="60"/>
      <c r="R89" s="61">
        <f>SUM(N89:Q89)</f>
        <v>0</v>
      </c>
      <c r="S89" s="68">
        <f t="shared" si="16"/>
        <v>0</v>
      </c>
    </row>
    <row r="90" spans="1:19" hidden="1" x14ac:dyDescent="0.35">
      <c r="B90" s="54"/>
      <c r="C90" s="63" t="s">
        <v>235</v>
      </c>
      <c r="D90" s="63"/>
      <c r="E90" s="63"/>
      <c r="F90" s="63"/>
      <c r="G90" s="63"/>
      <c r="H90" s="61">
        <f>SUM(D90:G90)</f>
        <v>0</v>
      </c>
      <c r="I90" s="63"/>
      <c r="J90" s="63"/>
      <c r="K90" s="63"/>
      <c r="L90" s="63"/>
      <c r="M90" s="61">
        <f>SUM(I90:L90)</f>
        <v>0</v>
      </c>
      <c r="N90" s="63"/>
      <c r="O90" s="63"/>
      <c r="P90" s="63"/>
      <c r="Q90" s="63"/>
      <c r="R90" s="61">
        <f>SUM(N90:Q90)</f>
        <v>0</v>
      </c>
      <c r="S90" s="68">
        <f t="shared" si="16"/>
        <v>0</v>
      </c>
    </row>
    <row r="91" spans="1:19" x14ac:dyDescent="0.35">
      <c r="A91" s="66" t="s">
        <v>268</v>
      </c>
      <c r="B91" s="67" t="s">
        <v>255</v>
      </c>
      <c r="C91" s="66"/>
      <c r="D91" s="66">
        <f t="shared" ref="D91:R91" si="21">SUM(D87:D90)</f>
        <v>0</v>
      </c>
      <c r="E91" s="66">
        <f t="shared" si="21"/>
        <v>0</v>
      </c>
      <c r="F91" s="66">
        <f t="shared" si="21"/>
        <v>0</v>
      </c>
      <c r="G91" s="66">
        <f t="shared" si="21"/>
        <v>0</v>
      </c>
      <c r="H91" s="61">
        <f t="shared" si="21"/>
        <v>0</v>
      </c>
      <c r="I91" s="66">
        <f t="shared" si="21"/>
        <v>0</v>
      </c>
      <c r="J91" s="66">
        <f t="shared" si="21"/>
        <v>0</v>
      </c>
      <c r="K91" s="66">
        <f t="shared" si="21"/>
        <v>0</v>
      </c>
      <c r="L91" s="66">
        <f t="shared" si="21"/>
        <v>0</v>
      </c>
      <c r="M91" s="61">
        <f t="shared" si="21"/>
        <v>0</v>
      </c>
      <c r="N91" s="66">
        <f t="shared" si="21"/>
        <v>0</v>
      </c>
      <c r="O91" s="66">
        <f t="shared" si="21"/>
        <v>0</v>
      </c>
      <c r="P91" s="66">
        <f t="shared" si="21"/>
        <v>0</v>
      </c>
      <c r="Q91" s="66">
        <f t="shared" si="21"/>
        <v>0</v>
      </c>
      <c r="R91" s="61">
        <f t="shared" si="21"/>
        <v>0</v>
      </c>
      <c r="S91" s="68">
        <f t="shared" si="16"/>
        <v>0</v>
      </c>
    </row>
    <row r="92" spans="1:19" hidden="1" x14ac:dyDescent="0.35">
      <c r="A92" s="59" t="s">
        <v>269</v>
      </c>
      <c r="B92" s="54">
        <v>12</v>
      </c>
      <c r="C92" s="60" t="s">
        <v>225</v>
      </c>
      <c r="D92" s="60">
        <v>35</v>
      </c>
      <c r="E92" s="60"/>
      <c r="F92" s="60"/>
      <c r="G92" s="60"/>
      <c r="H92" s="61">
        <f>SUM(D92:G92)</f>
        <v>35</v>
      </c>
      <c r="I92" s="60"/>
      <c r="J92" s="60"/>
      <c r="K92" s="60"/>
      <c r="L92" s="60"/>
      <c r="M92" s="61">
        <f>SUM(I92:L92)</f>
        <v>0</v>
      </c>
      <c r="N92" s="60">
        <v>103</v>
      </c>
      <c r="O92" s="60"/>
      <c r="P92" s="60"/>
      <c r="Q92" s="60"/>
      <c r="R92" s="61">
        <f>SUM(N92:Q92)</f>
        <v>103</v>
      </c>
      <c r="S92" s="68">
        <f t="shared" si="16"/>
        <v>138</v>
      </c>
    </row>
    <row r="93" spans="1:19" hidden="1" x14ac:dyDescent="0.35">
      <c r="A93" s="111" t="s">
        <v>270</v>
      </c>
      <c r="B93" s="54"/>
      <c r="C93" s="63" t="s">
        <v>227</v>
      </c>
      <c r="D93" s="63">
        <v>15</v>
      </c>
      <c r="E93" s="63"/>
      <c r="F93" s="63"/>
      <c r="G93" s="63"/>
      <c r="H93" s="61">
        <f>SUM(D93:G93)</f>
        <v>15</v>
      </c>
      <c r="I93" s="63">
        <v>4</v>
      </c>
      <c r="J93" s="63"/>
      <c r="K93" s="63"/>
      <c r="L93" s="63"/>
      <c r="M93" s="61">
        <f>SUM(I93:L93)</f>
        <v>4</v>
      </c>
      <c r="N93" s="63">
        <v>95</v>
      </c>
      <c r="O93" s="63">
        <v>2</v>
      </c>
      <c r="P93" s="63"/>
      <c r="Q93" s="63"/>
      <c r="R93" s="61">
        <f>SUM(N93:Q93)</f>
        <v>97</v>
      </c>
      <c r="S93" s="68">
        <f t="shared" si="16"/>
        <v>116</v>
      </c>
    </row>
    <row r="94" spans="1:19" hidden="1" x14ac:dyDescent="0.35">
      <c r="A94" s="111"/>
      <c r="B94" s="54"/>
      <c r="C94" s="60" t="s">
        <v>228</v>
      </c>
      <c r="D94" s="60">
        <v>15</v>
      </c>
      <c r="E94" s="60"/>
      <c r="F94" s="60"/>
      <c r="G94" s="60"/>
      <c r="H94" s="61">
        <f>SUM(D94:G94)</f>
        <v>15</v>
      </c>
      <c r="I94" s="60">
        <v>4</v>
      </c>
      <c r="J94" s="60"/>
      <c r="K94" s="60"/>
      <c r="L94" s="60"/>
      <c r="M94" s="61">
        <f>SUM(I94:L94)</f>
        <v>4</v>
      </c>
      <c r="N94" s="60">
        <v>94</v>
      </c>
      <c r="O94" s="60">
        <v>2</v>
      </c>
      <c r="P94" s="60"/>
      <c r="Q94" s="60"/>
      <c r="R94" s="61">
        <f>SUM(N94:Q94)</f>
        <v>96</v>
      </c>
      <c r="S94" s="68">
        <f t="shared" si="16"/>
        <v>115</v>
      </c>
    </row>
    <row r="95" spans="1:19" hidden="1" x14ac:dyDescent="0.35">
      <c r="A95" s="111"/>
      <c r="B95" s="54"/>
      <c r="C95" s="63" t="s">
        <v>235</v>
      </c>
      <c r="D95" s="63">
        <v>18</v>
      </c>
      <c r="E95" s="63"/>
      <c r="F95" s="63"/>
      <c r="G95" s="63"/>
      <c r="H95" s="61">
        <f>SUM(D95:G95)</f>
        <v>18</v>
      </c>
      <c r="I95" s="63"/>
      <c r="J95" s="63"/>
      <c r="K95" s="63"/>
      <c r="L95" s="63"/>
      <c r="M95" s="61">
        <f>SUM(I95:L95)</f>
        <v>0</v>
      </c>
      <c r="N95" s="63">
        <v>76</v>
      </c>
      <c r="O95" s="63">
        <v>2</v>
      </c>
      <c r="P95" s="63"/>
      <c r="Q95" s="63"/>
      <c r="R95" s="61">
        <f>SUM(N95:Q95)</f>
        <v>78</v>
      </c>
      <c r="S95" s="68">
        <f t="shared" si="16"/>
        <v>96</v>
      </c>
    </row>
    <row r="96" spans="1:19" x14ac:dyDescent="0.35">
      <c r="A96" s="66" t="s">
        <v>269</v>
      </c>
      <c r="B96" s="67">
        <v>12</v>
      </c>
      <c r="C96" s="66"/>
      <c r="D96" s="66">
        <f t="shared" ref="D96:R96" si="22">SUM(D92:D95)</f>
        <v>83</v>
      </c>
      <c r="E96" s="66">
        <f t="shared" si="22"/>
        <v>0</v>
      </c>
      <c r="F96" s="66">
        <f t="shared" si="22"/>
        <v>0</v>
      </c>
      <c r="G96" s="66">
        <f t="shared" si="22"/>
        <v>0</v>
      </c>
      <c r="H96" s="61">
        <f t="shared" si="22"/>
        <v>83</v>
      </c>
      <c r="I96" s="66">
        <f t="shared" si="22"/>
        <v>8</v>
      </c>
      <c r="J96" s="66">
        <f t="shared" si="22"/>
        <v>0</v>
      </c>
      <c r="K96" s="66">
        <f t="shared" si="22"/>
        <v>0</v>
      </c>
      <c r="L96" s="66">
        <f t="shared" si="22"/>
        <v>0</v>
      </c>
      <c r="M96" s="61">
        <f t="shared" si="22"/>
        <v>8</v>
      </c>
      <c r="N96" s="66">
        <f t="shared" si="22"/>
        <v>368</v>
      </c>
      <c r="O96" s="66">
        <f t="shared" si="22"/>
        <v>6</v>
      </c>
      <c r="P96" s="66">
        <f t="shared" si="22"/>
        <v>0</v>
      </c>
      <c r="Q96" s="66">
        <f t="shared" si="22"/>
        <v>0</v>
      </c>
      <c r="R96" s="61">
        <f t="shared" si="22"/>
        <v>374</v>
      </c>
      <c r="S96" s="68">
        <f t="shared" si="16"/>
        <v>465</v>
      </c>
    </row>
    <row r="97" spans="1:19" hidden="1" x14ac:dyDescent="0.35">
      <c r="A97" s="59" t="s">
        <v>271</v>
      </c>
      <c r="B97" s="54" t="s">
        <v>272</v>
      </c>
      <c r="C97" s="60" t="s">
        <v>225</v>
      </c>
      <c r="D97" s="60">
        <v>3</v>
      </c>
      <c r="E97" s="60"/>
      <c r="F97" s="60"/>
      <c r="G97" s="60"/>
      <c r="H97" s="61">
        <f>SUM(D97:G97)</f>
        <v>3</v>
      </c>
      <c r="I97" s="60">
        <v>7</v>
      </c>
      <c r="J97" s="60"/>
      <c r="K97" s="60"/>
      <c r="L97" s="60"/>
      <c r="M97" s="61">
        <f>SUM(I97:L97)</f>
        <v>7</v>
      </c>
      <c r="N97" s="60">
        <v>18</v>
      </c>
      <c r="O97" s="60"/>
      <c r="P97" s="60"/>
      <c r="Q97" s="60"/>
      <c r="R97" s="61">
        <f>SUM(N97:Q97)</f>
        <v>18</v>
      </c>
      <c r="S97" s="68">
        <f t="shared" si="16"/>
        <v>28</v>
      </c>
    </row>
    <row r="98" spans="1:19" hidden="1" x14ac:dyDescent="0.35">
      <c r="A98" s="111" t="s">
        <v>273</v>
      </c>
      <c r="B98" s="54"/>
      <c r="C98" s="63" t="s">
        <v>227</v>
      </c>
      <c r="D98" s="63">
        <v>7</v>
      </c>
      <c r="E98" s="63"/>
      <c r="F98" s="63"/>
      <c r="G98" s="63"/>
      <c r="H98" s="61">
        <f>SUM(D98:G98)</f>
        <v>7</v>
      </c>
      <c r="I98" s="63">
        <v>5</v>
      </c>
      <c r="J98" s="63"/>
      <c r="K98" s="63"/>
      <c r="L98" s="63"/>
      <c r="M98" s="61">
        <f>SUM(I98:L98)</f>
        <v>5</v>
      </c>
      <c r="N98" s="63">
        <v>9</v>
      </c>
      <c r="O98" s="63">
        <v>1</v>
      </c>
      <c r="P98" s="63"/>
      <c r="Q98" s="63"/>
      <c r="R98" s="61">
        <f>SUM(N98:Q98)</f>
        <v>10</v>
      </c>
      <c r="S98" s="68">
        <f t="shared" si="16"/>
        <v>22</v>
      </c>
    </row>
    <row r="99" spans="1:19" hidden="1" x14ac:dyDescent="0.35">
      <c r="A99" s="111"/>
      <c r="B99" s="54"/>
      <c r="C99" s="60" t="s">
        <v>228</v>
      </c>
      <c r="D99" s="60">
        <v>7</v>
      </c>
      <c r="E99" s="60">
        <v>3</v>
      </c>
      <c r="F99" s="60"/>
      <c r="G99" s="60"/>
      <c r="H99" s="61">
        <f>SUM(D99:G99)</f>
        <v>10</v>
      </c>
      <c r="I99" s="60">
        <v>3</v>
      </c>
      <c r="J99" s="60"/>
      <c r="K99" s="60"/>
      <c r="L99" s="60"/>
      <c r="M99" s="61">
        <f>SUM(I99:L99)</f>
        <v>3</v>
      </c>
      <c r="N99" s="60">
        <v>2</v>
      </c>
      <c r="O99" s="60"/>
      <c r="P99" s="60"/>
      <c r="Q99" s="60"/>
      <c r="R99" s="61">
        <f>SUM(N99:Q99)</f>
        <v>2</v>
      </c>
      <c r="S99" s="68">
        <f t="shared" si="16"/>
        <v>15</v>
      </c>
    </row>
    <row r="100" spans="1:19" hidden="1" x14ac:dyDescent="0.35">
      <c r="A100" s="111"/>
      <c r="B100" s="54"/>
      <c r="C100" s="63" t="s">
        <v>235</v>
      </c>
      <c r="D100" s="63">
        <v>2</v>
      </c>
      <c r="E100" s="63">
        <v>1</v>
      </c>
      <c r="F100" s="63"/>
      <c r="G100" s="63"/>
      <c r="H100" s="61">
        <f>SUM(D100:G100)</f>
        <v>3</v>
      </c>
      <c r="I100" s="63"/>
      <c r="J100" s="63"/>
      <c r="K100" s="63"/>
      <c r="L100" s="63"/>
      <c r="M100" s="61">
        <f>SUM(I100:L100)</f>
        <v>0</v>
      </c>
      <c r="N100" s="63">
        <v>7</v>
      </c>
      <c r="O100" s="63">
        <v>1</v>
      </c>
      <c r="P100" s="63"/>
      <c r="Q100" s="63"/>
      <c r="R100" s="61">
        <f>SUM(N100:Q100)</f>
        <v>8</v>
      </c>
      <c r="S100" s="68">
        <f t="shared" si="16"/>
        <v>11</v>
      </c>
    </row>
    <row r="101" spans="1:19" hidden="1" x14ac:dyDescent="0.35">
      <c r="A101" s="66" t="s">
        <v>274</v>
      </c>
      <c r="B101" s="67"/>
      <c r="C101" s="66"/>
      <c r="D101" s="66">
        <f t="shared" ref="D101:R101" si="23">SUM(D97:D100)</f>
        <v>19</v>
      </c>
      <c r="E101" s="66">
        <f t="shared" si="23"/>
        <v>4</v>
      </c>
      <c r="F101" s="66">
        <f t="shared" si="23"/>
        <v>0</v>
      </c>
      <c r="G101" s="66">
        <f t="shared" si="23"/>
        <v>0</v>
      </c>
      <c r="H101" s="61">
        <f t="shared" si="23"/>
        <v>23</v>
      </c>
      <c r="I101" s="66">
        <f t="shared" si="23"/>
        <v>15</v>
      </c>
      <c r="J101" s="66">
        <f t="shared" si="23"/>
        <v>0</v>
      </c>
      <c r="K101" s="66">
        <f t="shared" si="23"/>
        <v>0</v>
      </c>
      <c r="L101" s="66">
        <f t="shared" si="23"/>
        <v>0</v>
      </c>
      <c r="M101" s="61">
        <f t="shared" si="23"/>
        <v>15</v>
      </c>
      <c r="N101" s="66">
        <f t="shared" si="23"/>
        <v>36</v>
      </c>
      <c r="O101" s="66">
        <f t="shared" si="23"/>
        <v>2</v>
      </c>
      <c r="P101" s="66">
        <f t="shared" si="23"/>
        <v>0</v>
      </c>
      <c r="Q101" s="66">
        <f t="shared" si="23"/>
        <v>0</v>
      </c>
      <c r="R101" s="61">
        <f t="shared" si="23"/>
        <v>38</v>
      </c>
      <c r="S101" s="68">
        <f t="shared" si="16"/>
        <v>76</v>
      </c>
    </row>
    <row r="102" spans="1:19" hidden="1" x14ac:dyDescent="0.35">
      <c r="A102" s="111" t="s">
        <v>275</v>
      </c>
      <c r="B102" s="54"/>
      <c r="C102" s="60" t="s">
        <v>225</v>
      </c>
      <c r="D102" s="60"/>
      <c r="E102" s="60"/>
      <c r="F102" s="60"/>
      <c r="G102" s="60"/>
      <c r="H102" s="61">
        <f>SUM(D102:G102)</f>
        <v>0</v>
      </c>
      <c r="I102" s="60">
        <v>2</v>
      </c>
      <c r="J102" s="60"/>
      <c r="K102" s="60"/>
      <c r="L102" s="60"/>
      <c r="M102" s="61">
        <f>SUM(I102:L102)</f>
        <v>2</v>
      </c>
      <c r="N102" s="60">
        <v>1</v>
      </c>
      <c r="O102" s="60"/>
      <c r="P102" s="60"/>
      <c r="Q102" s="60"/>
      <c r="R102" s="61">
        <f>SUM(N102:Q102)</f>
        <v>1</v>
      </c>
      <c r="S102" s="68">
        <f t="shared" si="16"/>
        <v>3</v>
      </c>
    </row>
    <row r="103" spans="1:19" hidden="1" x14ac:dyDescent="0.35">
      <c r="A103" s="111"/>
      <c r="B103" s="54"/>
      <c r="C103" s="63" t="s">
        <v>227</v>
      </c>
      <c r="D103" s="63">
        <v>1</v>
      </c>
      <c r="E103" s="63"/>
      <c r="F103" s="63"/>
      <c r="G103" s="63"/>
      <c r="H103" s="61">
        <f>SUM(D103:G103)</f>
        <v>1</v>
      </c>
      <c r="I103" s="63"/>
      <c r="J103" s="63"/>
      <c r="K103" s="63"/>
      <c r="L103" s="63"/>
      <c r="M103" s="61">
        <f>SUM(I103:L103)</f>
        <v>0</v>
      </c>
      <c r="N103" s="63">
        <v>6</v>
      </c>
      <c r="O103" s="63"/>
      <c r="P103" s="63"/>
      <c r="Q103" s="63"/>
      <c r="R103" s="61">
        <f>SUM(N103:Q103)</f>
        <v>6</v>
      </c>
      <c r="S103" s="68">
        <f t="shared" si="16"/>
        <v>7</v>
      </c>
    </row>
    <row r="104" spans="1:19" hidden="1" x14ac:dyDescent="0.35">
      <c r="A104" s="111"/>
      <c r="B104" s="54"/>
      <c r="C104" s="60" t="s">
        <v>228</v>
      </c>
      <c r="D104" s="60">
        <v>1</v>
      </c>
      <c r="E104" s="60"/>
      <c r="F104" s="60"/>
      <c r="G104" s="60"/>
      <c r="H104" s="61">
        <f>SUM(D104:G104)</f>
        <v>1</v>
      </c>
      <c r="I104" s="60">
        <v>1</v>
      </c>
      <c r="J104" s="60"/>
      <c r="K104" s="60"/>
      <c r="L104" s="60"/>
      <c r="M104" s="61">
        <f>SUM(I104:L104)</f>
        <v>1</v>
      </c>
      <c r="N104" s="60">
        <v>9</v>
      </c>
      <c r="O104" s="60"/>
      <c r="P104" s="60"/>
      <c r="Q104" s="60"/>
      <c r="R104" s="61">
        <f>SUM(N104:Q104)</f>
        <v>9</v>
      </c>
      <c r="S104" s="68">
        <f t="shared" si="16"/>
        <v>11</v>
      </c>
    </row>
    <row r="105" spans="1:19" hidden="1" x14ac:dyDescent="0.35">
      <c r="A105" s="111"/>
      <c r="B105" s="54"/>
      <c r="C105" s="63" t="s">
        <v>235</v>
      </c>
      <c r="D105" s="63">
        <v>1</v>
      </c>
      <c r="E105" s="63"/>
      <c r="F105" s="63"/>
      <c r="G105" s="63"/>
      <c r="H105" s="61">
        <f>SUM(D105:G105)</f>
        <v>1</v>
      </c>
      <c r="I105" s="63">
        <v>1</v>
      </c>
      <c r="J105" s="63"/>
      <c r="K105" s="63"/>
      <c r="L105" s="63"/>
      <c r="M105" s="61">
        <f>SUM(I105:L105)</f>
        <v>1</v>
      </c>
      <c r="N105" s="63">
        <v>7</v>
      </c>
      <c r="O105" s="63"/>
      <c r="P105" s="63"/>
      <c r="Q105" s="63"/>
      <c r="R105" s="61">
        <f>SUM(N105:Q105)</f>
        <v>7</v>
      </c>
      <c r="S105" s="68">
        <f t="shared" si="16"/>
        <v>9</v>
      </c>
    </row>
    <row r="106" spans="1:19" hidden="1" x14ac:dyDescent="0.35">
      <c r="A106" s="66" t="s">
        <v>276</v>
      </c>
      <c r="B106" s="67"/>
      <c r="C106" s="66"/>
      <c r="D106" s="66">
        <f t="shared" ref="D106:R106" si="24">SUM(D102:D105)</f>
        <v>3</v>
      </c>
      <c r="E106" s="66">
        <f t="shared" si="24"/>
        <v>0</v>
      </c>
      <c r="F106" s="66">
        <f t="shared" si="24"/>
        <v>0</v>
      </c>
      <c r="G106" s="66">
        <f t="shared" si="24"/>
        <v>0</v>
      </c>
      <c r="H106" s="61">
        <f t="shared" si="24"/>
        <v>3</v>
      </c>
      <c r="I106" s="66">
        <f t="shared" si="24"/>
        <v>4</v>
      </c>
      <c r="J106" s="66">
        <f t="shared" si="24"/>
        <v>0</v>
      </c>
      <c r="K106" s="66">
        <f t="shared" si="24"/>
        <v>0</v>
      </c>
      <c r="L106" s="66">
        <f t="shared" si="24"/>
        <v>0</v>
      </c>
      <c r="M106" s="61">
        <f t="shared" si="24"/>
        <v>4</v>
      </c>
      <c r="N106" s="66">
        <f t="shared" si="24"/>
        <v>23</v>
      </c>
      <c r="O106" s="66">
        <f t="shared" si="24"/>
        <v>0</v>
      </c>
      <c r="P106" s="66">
        <f t="shared" si="24"/>
        <v>0</v>
      </c>
      <c r="Q106" s="66">
        <f t="shared" si="24"/>
        <v>0</v>
      </c>
      <c r="R106" s="61">
        <f t="shared" si="24"/>
        <v>23</v>
      </c>
      <c r="S106" s="68">
        <f t="shared" si="16"/>
        <v>30</v>
      </c>
    </row>
    <row r="107" spans="1:19" x14ac:dyDescent="0.35">
      <c r="A107" s="66" t="s">
        <v>271</v>
      </c>
      <c r="B107" s="67" t="s">
        <v>272</v>
      </c>
      <c r="C107" s="66"/>
      <c r="D107" s="66">
        <f t="shared" ref="D107:R107" si="25">SUM(D106,D101)</f>
        <v>22</v>
      </c>
      <c r="E107" s="66">
        <f t="shared" si="25"/>
        <v>4</v>
      </c>
      <c r="F107" s="66">
        <f t="shared" si="25"/>
        <v>0</v>
      </c>
      <c r="G107" s="66">
        <f t="shared" si="25"/>
        <v>0</v>
      </c>
      <c r="H107" s="61">
        <f t="shared" si="25"/>
        <v>26</v>
      </c>
      <c r="I107" s="66">
        <f t="shared" si="25"/>
        <v>19</v>
      </c>
      <c r="J107" s="66">
        <f t="shared" si="25"/>
        <v>0</v>
      </c>
      <c r="K107" s="66">
        <f t="shared" si="25"/>
        <v>0</v>
      </c>
      <c r="L107" s="66">
        <f t="shared" si="25"/>
        <v>0</v>
      </c>
      <c r="M107" s="61">
        <f t="shared" si="25"/>
        <v>19</v>
      </c>
      <c r="N107" s="66">
        <f t="shared" si="25"/>
        <v>59</v>
      </c>
      <c r="O107" s="66">
        <f t="shared" si="25"/>
        <v>2</v>
      </c>
      <c r="P107" s="66">
        <f t="shared" si="25"/>
        <v>0</v>
      </c>
      <c r="Q107" s="66">
        <f t="shared" si="25"/>
        <v>0</v>
      </c>
      <c r="R107" s="61">
        <f t="shared" si="25"/>
        <v>61</v>
      </c>
      <c r="S107" s="68">
        <f t="shared" si="16"/>
        <v>106</v>
      </c>
    </row>
    <row r="108" spans="1:19" hidden="1" x14ac:dyDescent="0.35">
      <c r="A108" s="75" t="s">
        <v>277</v>
      </c>
      <c r="B108" s="54" t="s">
        <v>272</v>
      </c>
      <c r="C108" s="60" t="s">
        <v>225</v>
      </c>
      <c r="D108" s="60"/>
      <c r="E108" s="60"/>
      <c r="F108" s="60"/>
      <c r="G108" s="60"/>
      <c r="H108" s="61">
        <f>SUM(D108:G108)</f>
        <v>0</v>
      </c>
      <c r="I108" s="60"/>
      <c r="J108" s="60"/>
      <c r="K108" s="60"/>
      <c r="L108" s="60"/>
      <c r="M108" s="61">
        <f>SUM(I108:L108)</f>
        <v>0</v>
      </c>
      <c r="N108" s="60">
        <v>10</v>
      </c>
      <c r="O108" s="60">
        <v>1</v>
      </c>
      <c r="P108" s="60"/>
      <c r="Q108" s="60"/>
      <c r="R108" s="61">
        <f>SUM(N108:Q108)</f>
        <v>11</v>
      </c>
      <c r="S108" s="68">
        <f t="shared" si="16"/>
        <v>11</v>
      </c>
    </row>
    <row r="109" spans="1:19" hidden="1" x14ac:dyDescent="0.35">
      <c r="A109" s="111" t="s">
        <v>278</v>
      </c>
      <c r="B109" s="54"/>
      <c r="C109" s="63" t="s">
        <v>227</v>
      </c>
      <c r="D109" s="63">
        <v>4</v>
      </c>
      <c r="E109" s="63"/>
      <c r="F109" s="63"/>
      <c r="G109" s="63"/>
      <c r="H109" s="61">
        <f>SUM(D109:G109)</f>
        <v>4</v>
      </c>
      <c r="I109" s="63">
        <v>2</v>
      </c>
      <c r="J109" s="63"/>
      <c r="K109" s="63"/>
      <c r="L109" s="63"/>
      <c r="M109" s="61">
        <f>SUM(I109:L109)</f>
        <v>2</v>
      </c>
      <c r="N109" s="63">
        <v>6</v>
      </c>
      <c r="O109" s="63">
        <v>1</v>
      </c>
      <c r="P109" s="63"/>
      <c r="Q109" s="63"/>
      <c r="R109" s="61">
        <f>SUM(N109:Q109)</f>
        <v>7</v>
      </c>
      <c r="S109" s="68">
        <f t="shared" si="16"/>
        <v>13</v>
      </c>
    </row>
    <row r="110" spans="1:19" hidden="1" x14ac:dyDescent="0.35">
      <c r="A110" s="111"/>
      <c r="B110" s="54"/>
      <c r="C110" s="60" t="s">
        <v>228</v>
      </c>
      <c r="D110" s="60">
        <v>7</v>
      </c>
      <c r="E110" s="60">
        <v>1</v>
      </c>
      <c r="F110" s="60"/>
      <c r="G110" s="60"/>
      <c r="H110" s="61">
        <f>SUM(D110:G110)</f>
        <v>8</v>
      </c>
      <c r="I110" s="60"/>
      <c r="J110" s="60"/>
      <c r="K110" s="60"/>
      <c r="L110" s="60"/>
      <c r="M110" s="61">
        <f>SUM(I110:L110)</f>
        <v>0</v>
      </c>
      <c r="N110" s="60">
        <v>2</v>
      </c>
      <c r="O110" s="60"/>
      <c r="P110" s="60"/>
      <c r="Q110" s="60"/>
      <c r="R110" s="61">
        <f>SUM(N110:Q110)</f>
        <v>2</v>
      </c>
      <c r="S110" s="68">
        <f t="shared" si="16"/>
        <v>10</v>
      </c>
    </row>
    <row r="111" spans="1:19" hidden="1" x14ac:dyDescent="0.35">
      <c r="A111" s="111"/>
      <c r="B111" s="54"/>
      <c r="C111" s="63" t="s">
        <v>235</v>
      </c>
      <c r="D111" s="63">
        <v>1</v>
      </c>
      <c r="E111" s="63"/>
      <c r="F111" s="63"/>
      <c r="G111" s="63"/>
      <c r="H111" s="61">
        <f>SUM(D111:G111)</f>
        <v>1</v>
      </c>
      <c r="I111" s="63">
        <v>1</v>
      </c>
      <c r="J111" s="63"/>
      <c r="K111" s="63"/>
      <c r="L111" s="63"/>
      <c r="M111" s="61">
        <f>SUM(I111:L111)</f>
        <v>1</v>
      </c>
      <c r="N111" s="63">
        <v>5</v>
      </c>
      <c r="O111" s="63"/>
      <c r="P111" s="63"/>
      <c r="Q111" s="63"/>
      <c r="R111" s="61">
        <f>SUM(N111:Q111)</f>
        <v>5</v>
      </c>
      <c r="S111" s="68">
        <f t="shared" si="16"/>
        <v>7</v>
      </c>
    </row>
    <row r="112" spans="1:19" x14ac:dyDescent="0.35">
      <c r="A112" s="66" t="s">
        <v>277</v>
      </c>
      <c r="B112" s="67" t="s">
        <v>272</v>
      </c>
      <c r="C112" s="66"/>
      <c r="D112" s="66">
        <f t="shared" ref="D112:R112" si="26">SUM(D108:D111)</f>
        <v>12</v>
      </c>
      <c r="E112" s="66">
        <f t="shared" si="26"/>
        <v>1</v>
      </c>
      <c r="F112" s="66">
        <f t="shared" si="26"/>
        <v>0</v>
      </c>
      <c r="G112" s="66">
        <f t="shared" si="26"/>
        <v>0</v>
      </c>
      <c r="H112" s="61">
        <f t="shared" si="26"/>
        <v>13</v>
      </c>
      <c r="I112" s="66">
        <f t="shared" si="26"/>
        <v>3</v>
      </c>
      <c r="J112" s="66">
        <f t="shared" si="26"/>
        <v>0</v>
      </c>
      <c r="K112" s="66">
        <f t="shared" si="26"/>
        <v>0</v>
      </c>
      <c r="L112" s="66">
        <f t="shared" si="26"/>
        <v>0</v>
      </c>
      <c r="M112" s="61">
        <f t="shared" si="26"/>
        <v>3</v>
      </c>
      <c r="N112" s="66">
        <f t="shared" si="26"/>
        <v>23</v>
      </c>
      <c r="O112" s="66">
        <f t="shared" si="26"/>
        <v>2</v>
      </c>
      <c r="P112" s="66">
        <f t="shared" si="26"/>
        <v>0</v>
      </c>
      <c r="Q112" s="66">
        <f t="shared" si="26"/>
        <v>0</v>
      </c>
      <c r="R112" s="61">
        <f t="shared" si="26"/>
        <v>25</v>
      </c>
      <c r="S112" s="68">
        <f t="shared" si="16"/>
        <v>41</v>
      </c>
    </row>
    <row r="113" spans="1:19" hidden="1" x14ac:dyDescent="0.35">
      <c r="A113" s="75" t="s">
        <v>279</v>
      </c>
      <c r="B113" s="54">
        <v>4</v>
      </c>
      <c r="C113" s="60" t="s">
        <v>225</v>
      </c>
      <c r="D113" s="60"/>
      <c r="E113" s="60"/>
      <c r="F113" s="60"/>
      <c r="G113" s="60"/>
      <c r="H113" s="61">
        <f>SUM(D113:G113)</f>
        <v>0</v>
      </c>
      <c r="I113" s="60"/>
      <c r="J113" s="60"/>
      <c r="K113" s="60"/>
      <c r="L113" s="60"/>
      <c r="M113" s="61">
        <f>SUM(I113:L113)</f>
        <v>0</v>
      </c>
      <c r="N113" s="60"/>
      <c r="O113" s="60"/>
      <c r="P113" s="60"/>
      <c r="Q113" s="60"/>
      <c r="R113" s="61">
        <f>SUM(N113:Q113)</f>
        <v>0</v>
      </c>
      <c r="S113" s="68">
        <f t="shared" si="16"/>
        <v>0</v>
      </c>
    </row>
    <row r="114" spans="1:19" hidden="1" x14ac:dyDescent="0.35">
      <c r="A114" s="111" t="s">
        <v>280</v>
      </c>
      <c r="B114" s="54"/>
      <c r="C114" s="63" t="s">
        <v>227</v>
      </c>
      <c r="D114" s="63"/>
      <c r="E114" s="63"/>
      <c r="F114" s="63"/>
      <c r="G114" s="63"/>
      <c r="H114" s="61">
        <f>SUM(D114:G114)</f>
        <v>0</v>
      </c>
      <c r="I114" s="63"/>
      <c r="J114" s="63"/>
      <c r="K114" s="63"/>
      <c r="L114" s="63"/>
      <c r="M114" s="61">
        <f>SUM(I114:L114)</f>
        <v>0</v>
      </c>
      <c r="N114" s="63"/>
      <c r="O114" s="63"/>
      <c r="P114" s="63"/>
      <c r="Q114" s="63"/>
      <c r="R114" s="61">
        <f>SUM(N114:Q114)</f>
        <v>0</v>
      </c>
      <c r="S114" s="68">
        <f t="shared" si="16"/>
        <v>0</v>
      </c>
    </row>
    <row r="115" spans="1:19" hidden="1" x14ac:dyDescent="0.35">
      <c r="A115" s="111"/>
      <c r="B115" s="54"/>
      <c r="C115" s="60" t="s">
        <v>228</v>
      </c>
      <c r="D115" s="60"/>
      <c r="E115" s="60"/>
      <c r="F115" s="60"/>
      <c r="G115" s="60"/>
      <c r="H115" s="61">
        <f>SUM(D115:G115)</f>
        <v>0</v>
      </c>
      <c r="I115" s="60"/>
      <c r="J115" s="60"/>
      <c r="K115" s="60"/>
      <c r="L115" s="60"/>
      <c r="M115" s="61">
        <f>SUM(I115:L115)</f>
        <v>0</v>
      </c>
      <c r="N115" s="60"/>
      <c r="O115" s="60"/>
      <c r="P115" s="60"/>
      <c r="Q115" s="60"/>
      <c r="R115" s="61">
        <f>SUM(N115:Q115)</f>
        <v>0</v>
      </c>
      <c r="S115" s="68">
        <f t="shared" si="16"/>
        <v>0</v>
      </c>
    </row>
    <row r="116" spans="1:19" hidden="1" x14ac:dyDescent="0.35">
      <c r="A116" s="111"/>
      <c r="B116" s="54"/>
      <c r="C116" s="63" t="s">
        <v>235</v>
      </c>
      <c r="D116" s="63"/>
      <c r="E116" s="63"/>
      <c r="F116" s="63"/>
      <c r="G116" s="63"/>
      <c r="H116" s="61">
        <f>SUM(D116:G116)</f>
        <v>0</v>
      </c>
      <c r="I116" s="63"/>
      <c r="J116" s="63"/>
      <c r="K116" s="63"/>
      <c r="L116" s="63"/>
      <c r="M116" s="61">
        <f>SUM(I116:L116)</f>
        <v>0</v>
      </c>
      <c r="N116" s="63">
        <v>1</v>
      </c>
      <c r="O116" s="63"/>
      <c r="P116" s="63"/>
      <c r="Q116" s="63"/>
      <c r="R116" s="61">
        <f>SUM(N116:Q116)</f>
        <v>1</v>
      </c>
      <c r="S116" s="68">
        <f t="shared" si="16"/>
        <v>1</v>
      </c>
    </row>
    <row r="117" spans="1:19" x14ac:dyDescent="0.35">
      <c r="A117" s="66" t="s">
        <v>279</v>
      </c>
      <c r="B117" s="67">
        <v>4</v>
      </c>
      <c r="C117" s="66"/>
      <c r="D117" s="66">
        <f t="shared" ref="D117:R117" si="27">SUM(D113:D116)</f>
        <v>0</v>
      </c>
      <c r="E117" s="66">
        <f t="shared" si="27"/>
        <v>0</v>
      </c>
      <c r="F117" s="66">
        <f t="shared" si="27"/>
        <v>0</v>
      </c>
      <c r="G117" s="66">
        <f t="shared" si="27"/>
        <v>0</v>
      </c>
      <c r="H117" s="61">
        <f t="shared" si="27"/>
        <v>0</v>
      </c>
      <c r="I117" s="66">
        <f t="shared" si="27"/>
        <v>0</v>
      </c>
      <c r="J117" s="66">
        <f t="shared" si="27"/>
        <v>0</v>
      </c>
      <c r="K117" s="66">
        <f t="shared" si="27"/>
        <v>0</v>
      </c>
      <c r="L117" s="66">
        <f t="shared" si="27"/>
        <v>0</v>
      </c>
      <c r="M117" s="61">
        <f t="shared" si="27"/>
        <v>0</v>
      </c>
      <c r="N117" s="66">
        <f t="shared" si="27"/>
        <v>1</v>
      </c>
      <c r="O117" s="66">
        <f t="shared" si="27"/>
        <v>0</v>
      </c>
      <c r="P117" s="66">
        <f t="shared" si="27"/>
        <v>0</v>
      </c>
      <c r="Q117" s="66">
        <f t="shared" si="27"/>
        <v>0</v>
      </c>
      <c r="R117" s="61">
        <f t="shared" si="27"/>
        <v>1</v>
      </c>
      <c r="S117" s="68">
        <f t="shared" si="16"/>
        <v>1</v>
      </c>
    </row>
    <row r="118" spans="1:19" hidden="1" x14ac:dyDescent="0.35">
      <c r="A118" s="59" t="s">
        <v>281</v>
      </c>
      <c r="B118" s="54">
        <v>14</v>
      </c>
      <c r="C118" s="60" t="s">
        <v>225</v>
      </c>
      <c r="D118" s="60">
        <v>10</v>
      </c>
      <c r="E118" s="60"/>
      <c r="F118" s="60">
        <v>5</v>
      </c>
      <c r="G118" s="60"/>
      <c r="H118" s="61">
        <f>SUM(D118:G118)</f>
        <v>15</v>
      </c>
      <c r="I118" s="60">
        <v>2</v>
      </c>
      <c r="J118" s="60"/>
      <c r="K118" s="60"/>
      <c r="L118" s="60"/>
      <c r="M118" s="61">
        <f>SUM(I118:L118)</f>
        <v>2</v>
      </c>
      <c r="N118" s="60">
        <v>67</v>
      </c>
      <c r="O118" s="60">
        <v>7</v>
      </c>
      <c r="P118" s="60">
        <v>1</v>
      </c>
      <c r="Q118" s="60"/>
      <c r="R118" s="61">
        <f>SUM(N118:Q118)</f>
        <v>75</v>
      </c>
      <c r="S118" s="68">
        <f t="shared" si="16"/>
        <v>92</v>
      </c>
    </row>
    <row r="119" spans="1:19" hidden="1" x14ac:dyDescent="0.35">
      <c r="A119" s="111" t="s">
        <v>282</v>
      </c>
      <c r="B119" s="54"/>
      <c r="C119" s="63" t="s">
        <v>239</v>
      </c>
      <c r="D119" s="63">
        <v>8</v>
      </c>
      <c r="E119" s="63">
        <v>2</v>
      </c>
      <c r="F119" s="63">
        <v>2</v>
      </c>
      <c r="G119" s="63"/>
      <c r="H119" s="61">
        <f>SUM(D119:G119)</f>
        <v>12</v>
      </c>
      <c r="I119" s="63">
        <v>2</v>
      </c>
      <c r="J119" s="63"/>
      <c r="K119" s="63">
        <v>1</v>
      </c>
      <c r="L119" s="63"/>
      <c r="M119" s="61">
        <f>SUM(I119:L119)</f>
        <v>3</v>
      </c>
      <c r="N119" s="63">
        <v>67</v>
      </c>
      <c r="O119" s="63">
        <v>8</v>
      </c>
      <c r="P119" s="63">
        <v>2</v>
      </c>
      <c r="Q119" s="63"/>
      <c r="R119" s="61">
        <f>SUM(N119:Q119)</f>
        <v>77</v>
      </c>
      <c r="S119" s="68">
        <f t="shared" si="16"/>
        <v>92</v>
      </c>
    </row>
    <row r="120" spans="1:19" hidden="1" x14ac:dyDescent="0.35">
      <c r="A120" s="111"/>
      <c r="B120" s="54"/>
      <c r="C120" s="60" t="s">
        <v>228</v>
      </c>
      <c r="D120" s="60">
        <v>4</v>
      </c>
      <c r="E120" s="60"/>
      <c r="F120" s="60"/>
      <c r="G120" s="60"/>
      <c r="H120" s="61">
        <f>SUM(D120:G120)</f>
        <v>4</v>
      </c>
      <c r="I120" s="60"/>
      <c r="J120" s="60">
        <v>1</v>
      </c>
      <c r="K120" s="60"/>
      <c r="L120" s="60"/>
      <c r="M120" s="61">
        <f>SUM(I120:L120)</f>
        <v>1</v>
      </c>
      <c r="N120" s="60">
        <v>67</v>
      </c>
      <c r="O120" s="60">
        <v>7</v>
      </c>
      <c r="P120" s="60">
        <v>3</v>
      </c>
      <c r="Q120" s="60"/>
      <c r="R120" s="61">
        <f>SUM(N120:Q120)</f>
        <v>77</v>
      </c>
      <c r="S120" s="68">
        <f t="shared" si="16"/>
        <v>82</v>
      </c>
    </row>
    <row r="121" spans="1:19" hidden="1" x14ac:dyDescent="0.35">
      <c r="A121" s="111"/>
      <c r="B121" s="54"/>
      <c r="C121" s="63" t="s">
        <v>235</v>
      </c>
      <c r="D121" s="63">
        <v>5</v>
      </c>
      <c r="E121" s="63"/>
      <c r="F121" s="63"/>
      <c r="G121" s="63"/>
      <c r="H121" s="61">
        <f>SUM(D121:G121)</f>
        <v>5</v>
      </c>
      <c r="I121" s="63">
        <v>8</v>
      </c>
      <c r="J121" s="63">
        <v>1</v>
      </c>
      <c r="K121" s="63"/>
      <c r="L121" s="63"/>
      <c r="M121" s="61">
        <f>SUM(I121:L121)</f>
        <v>9</v>
      </c>
      <c r="N121" s="63">
        <v>60</v>
      </c>
      <c r="O121" s="63">
        <v>7</v>
      </c>
      <c r="P121" s="63">
        <v>3</v>
      </c>
      <c r="Q121" s="63"/>
      <c r="R121" s="61">
        <f>SUM(N121:Q121)</f>
        <v>70</v>
      </c>
      <c r="S121" s="68">
        <f t="shared" si="16"/>
        <v>84</v>
      </c>
    </row>
    <row r="122" spans="1:19" hidden="1" x14ac:dyDescent="0.35">
      <c r="A122" s="66" t="s">
        <v>281</v>
      </c>
      <c r="B122" s="67">
        <v>14</v>
      </c>
      <c r="C122" s="66"/>
      <c r="D122" s="66">
        <f t="shared" ref="D122:R122" si="28">SUM(D118:D121)</f>
        <v>27</v>
      </c>
      <c r="E122" s="66">
        <f t="shared" si="28"/>
        <v>2</v>
      </c>
      <c r="F122" s="66">
        <f t="shared" si="28"/>
        <v>7</v>
      </c>
      <c r="G122" s="66">
        <f t="shared" si="28"/>
        <v>0</v>
      </c>
      <c r="H122" s="61">
        <f t="shared" si="28"/>
        <v>36</v>
      </c>
      <c r="I122" s="66">
        <f t="shared" si="28"/>
        <v>12</v>
      </c>
      <c r="J122" s="66">
        <f t="shared" si="28"/>
        <v>2</v>
      </c>
      <c r="K122" s="66">
        <f t="shared" si="28"/>
        <v>1</v>
      </c>
      <c r="L122" s="66">
        <f t="shared" si="28"/>
        <v>0</v>
      </c>
      <c r="M122" s="61">
        <f t="shared" si="28"/>
        <v>15</v>
      </c>
      <c r="N122" s="66">
        <f t="shared" si="28"/>
        <v>261</v>
      </c>
      <c r="O122" s="66">
        <f t="shared" si="28"/>
        <v>29</v>
      </c>
      <c r="P122" s="66">
        <f t="shared" si="28"/>
        <v>9</v>
      </c>
      <c r="Q122" s="66">
        <f t="shared" si="28"/>
        <v>0</v>
      </c>
      <c r="R122" s="61">
        <f t="shared" si="28"/>
        <v>299</v>
      </c>
      <c r="S122" s="68">
        <f t="shared" si="16"/>
        <v>350</v>
      </c>
    </row>
    <row r="123" spans="1:19" hidden="1" x14ac:dyDescent="0.35">
      <c r="A123" s="111" t="s">
        <v>260</v>
      </c>
      <c r="B123" s="54"/>
      <c r="C123" s="60" t="s">
        <v>225</v>
      </c>
      <c r="D123" s="60"/>
      <c r="E123" s="60"/>
      <c r="F123" s="60"/>
      <c r="G123" s="60"/>
      <c r="H123" s="61">
        <f>SUM(D123:G123)</f>
        <v>0</v>
      </c>
      <c r="I123" s="60">
        <v>1</v>
      </c>
      <c r="J123" s="60"/>
      <c r="K123" s="60"/>
      <c r="L123" s="60"/>
      <c r="M123" s="61">
        <f>SUM(I123:L123)</f>
        <v>1</v>
      </c>
      <c r="N123" s="60">
        <v>5</v>
      </c>
      <c r="O123" s="60"/>
      <c r="P123" s="60">
        <v>3</v>
      </c>
      <c r="Q123" s="60"/>
      <c r="R123" s="61">
        <f>SUM(N123:Q123)</f>
        <v>8</v>
      </c>
      <c r="S123" s="68">
        <f t="shared" si="16"/>
        <v>9</v>
      </c>
    </row>
    <row r="124" spans="1:19" hidden="1" x14ac:dyDescent="0.35">
      <c r="A124" s="111"/>
      <c r="B124" s="54"/>
      <c r="C124" s="63" t="s">
        <v>227</v>
      </c>
      <c r="D124" s="63">
        <v>3</v>
      </c>
      <c r="E124" s="63"/>
      <c r="F124" s="63"/>
      <c r="G124" s="63"/>
      <c r="H124" s="61">
        <f>SUM(D124:G124)</f>
        <v>3</v>
      </c>
      <c r="I124" s="63">
        <v>6</v>
      </c>
      <c r="J124" s="63"/>
      <c r="K124" s="63">
        <v>1</v>
      </c>
      <c r="L124" s="63"/>
      <c r="M124" s="61">
        <f>SUM(I124:L124)</f>
        <v>7</v>
      </c>
      <c r="N124" s="63">
        <v>19</v>
      </c>
      <c r="O124" s="63"/>
      <c r="P124" s="63">
        <v>3</v>
      </c>
      <c r="Q124" s="63"/>
      <c r="R124" s="61">
        <f>SUM(N124:Q124)</f>
        <v>22</v>
      </c>
      <c r="S124" s="68">
        <f t="shared" si="16"/>
        <v>32</v>
      </c>
    </row>
    <row r="125" spans="1:19" hidden="1" x14ac:dyDescent="0.35">
      <c r="A125" s="111"/>
      <c r="B125" s="54"/>
      <c r="C125" s="60" t="s">
        <v>228</v>
      </c>
      <c r="D125" s="60">
        <v>5</v>
      </c>
      <c r="E125" s="60"/>
      <c r="F125" s="60">
        <v>4</v>
      </c>
      <c r="G125" s="60"/>
      <c r="H125" s="61">
        <f>SUM(D125:G125)</f>
        <v>9</v>
      </c>
      <c r="I125" s="60">
        <v>3</v>
      </c>
      <c r="J125" s="60"/>
      <c r="K125" s="60"/>
      <c r="L125" s="60"/>
      <c r="M125" s="61">
        <f>SUM(I125:L125)</f>
        <v>3</v>
      </c>
      <c r="N125" s="60">
        <v>30</v>
      </c>
      <c r="O125" s="60"/>
      <c r="P125" s="60">
        <v>5</v>
      </c>
      <c r="Q125" s="60"/>
      <c r="R125" s="61">
        <f>SUM(N125:Q125)</f>
        <v>35</v>
      </c>
      <c r="S125" s="68">
        <f t="shared" si="16"/>
        <v>47</v>
      </c>
    </row>
    <row r="126" spans="1:19" hidden="1" x14ac:dyDescent="0.35">
      <c r="A126" s="111"/>
      <c r="B126" s="54"/>
      <c r="C126" s="63" t="s">
        <v>235</v>
      </c>
      <c r="D126" s="63">
        <v>2</v>
      </c>
      <c r="E126" s="63"/>
      <c r="F126" s="63"/>
      <c r="G126" s="63"/>
      <c r="H126" s="61">
        <f>SUM(D126:G126)</f>
        <v>2</v>
      </c>
      <c r="I126" s="63">
        <v>4</v>
      </c>
      <c r="J126" s="63"/>
      <c r="K126" s="63"/>
      <c r="L126" s="63"/>
      <c r="M126" s="61">
        <f>SUM(I126:L126)</f>
        <v>4</v>
      </c>
      <c r="N126" s="63">
        <v>20</v>
      </c>
      <c r="O126" s="63"/>
      <c r="P126" s="63"/>
      <c r="Q126" s="63"/>
      <c r="R126" s="61">
        <f>SUM(N126:Q126)</f>
        <v>20</v>
      </c>
      <c r="S126" s="68">
        <f t="shared" si="16"/>
        <v>26</v>
      </c>
    </row>
    <row r="127" spans="1:19" hidden="1" x14ac:dyDescent="0.35">
      <c r="A127" s="76" t="s">
        <v>260</v>
      </c>
      <c r="B127" s="67"/>
      <c r="C127" s="66"/>
      <c r="D127" s="66">
        <f t="shared" ref="D127:R127" si="29">SUM(D123:D126)</f>
        <v>10</v>
      </c>
      <c r="E127" s="66">
        <f t="shared" si="29"/>
        <v>0</v>
      </c>
      <c r="F127" s="66">
        <f t="shared" si="29"/>
        <v>4</v>
      </c>
      <c r="G127" s="66">
        <f t="shared" si="29"/>
        <v>0</v>
      </c>
      <c r="H127" s="61">
        <f t="shared" si="29"/>
        <v>14</v>
      </c>
      <c r="I127" s="66">
        <f t="shared" si="29"/>
        <v>14</v>
      </c>
      <c r="J127" s="66">
        <f t="shared" si="29"/>
        <v>0</v>
      </c>
      <c r="K127" s="66">
        <f t="shared" si="29"/>
        <v>1</v>
      </c>
      <c r="L127" s="66">
        <f t="shared" si="29"/>
        <v>0</v>
      </c>
      <c r="M127" s="61">
        <f t="shared" si="29"/>
        <v>15</v>
      </c>
      <c r="N127" s="66">
        <f t="shared" si="29"/>
        <v>74</v>
      </c>
      <c r="O127" s="66">
        <f t="shared" si="29"/>
        <v>0</v>
      </c>
      <c r="P127" s="66">
        <f t="shared" si="29"/>
        <v>11</v>
      </c>
      <c r="Q127" s="66">
        <f t="shared" si="29"/>
        <v>0</v>
      </c>
      <c r="R127" s="61">
        <f t="shared" si="29"/>
        <v>85</v>
      </c>
      <c r="S127" s="68">
        <f t="shared" si="16"/>
        <v>114</v>
      </c>
    </row>
    <row r="128" spans="1:19" x14ac:dyDescent="0.35">
      <c r="A128" s="66" t="s">
        <v>281</v>
      </c>
      <c r="B128" s="67">
        <v>14</v>
      </c>
      <c r="C128" s="66"/>
      <c r="D128" s="66">
        <f t="shared" ref="D128:R128" si="30">SUM(D127,D122)</f>
        <v>37</v>
      </c>
      <c r="E128" s="66">
        <f t="shared" si="30"/>
        <v>2</v>
      </c>
      <c r="F128" s="66">
        <f t="shared" si="30"/>
        <v>11</v>
      </c>
      <c r="G128" s="66">
        <f t="shared" si="30"/>
        <v>0</v>
      </c>
      <c r="H128" s="61">
        <f t="shared" si="30"/>
        <v>50</v>
      </c>
      <c r="I128" s="66">
        <f t="shared" si="30"/>
        <v>26</v>
      </c>
      <c r="J128" s="66">
        <f t="shared" si="30"/>
        <v>2</v>
      </c>
      <c r="K128" s="66">
        <f t="shared" si="30"/>
        <v>2</v>
      </c>
      <c r="L128" s="66">
        <f t="shared" si="30"/>
        <v>0</v>
      </c>
      <c r="M128" s="61">
        <f t="shared" si="30"/>
        <v>30</v>
      </c>
      <c r="N128" s="66">
        <f t="shared" si="30"/>
        <v>335</v>
      </c>
      <c r="O128" s="66">
        <f t="shared" si="30"/>
        <v>29</v>
      </c>
      <c r="P128" s="66">
        <f t="shared" si="30"/>
        <v>20</v>
      </c>
      <c r="Q128" s="66">
        <f t="shared" si="30"/>
        <v>0</v>
      </c>
      <c r="R128" s="61">
        <f t="shared" si="30"/>
        <v>384</v>
      </c>
      <c r="S128" s="68">
        <f t="shared" si="16"/>
        <v>464</v>
      </c>
    </row>
    <row r="129" spans="1:19" hidden="1" x14ac:dyDescent="0.35">
      <c r="A129" s="59" t="s">
        <v>283</v>
      </c>
      <c r="B129" s="54">
        <v>7</v>
      </c>
      <c r="C129" s="60" t="s">
        <v>225</v>
      </c>
      <c r="D129" s="60"/>
      <c r="E129" s="60"/>
      <c r="F129" s="60"/>
      <c r="G129" s="60"/>
      <c r="H129" s="61">
        <f>SUM(D129:G129)</f>
        <v>0</v>
      </c>
      <c r="I129" s="60"/>
      <c r="J129" s="60">
        <v>1</v>
      </c>
      <c r="K129" s="60"/>
      <c r="L129" s="60"/>
      <c r="M129" s="61">
        <f>SUM(I129:L129)</f>
        <v>1</v>
      </c>
      <c r="N129" s="60">
        <v>6</v>
      </c>
      <c r="O129" s="60">
        <v>5</v>
      </c>
      <c r="P129" s="60"/>
      <c r="Q129" s="60"/>
      <c r="R129" s="61">
        <f>SUM(N129:Q129)</f>
        <v>11</v>
      </c>
      <c r="S129" s="68">
        <f t="shared" si="16"/>
        <v>12</v>
      </c>
    </row>
    <row r="130" spans="1:19" hidden="1" x14ac:dyDescent="0.35">
      <c r="A130" s="111" t="s">
        <v>284</v>
      </c>
      <c r="B130" s="54"/>
      <c r="C130" s="63" t="s">
        <v>227</v>
      </c>
      <c r="D130" s="63"/>
      <c r="E130" s="63"/>
      <c r="F130" s="63"/>
      <c r="G130" s="63"/>
      <c r="H130" s="61">
        <f>SUM(D130:G130)</f>
        <v>0</v>
      </c>
      <c r="I130" s="63"/>
      <c r="J130" s="63">
        <v>4</v>
      </c>
      <c r="K130" s="63"/>
      <c r="L130" s="63"/>
      <c r="M130" s="61">
        <f>SUM(I130:L130)</f>
        <v>4</v>
      </c>
      <c r="N130" s="63">
        <v>6</v>
      </c>
      <c r="O130" s="63">
        <v>2</v>
      </c>
      <c r="P130" s="63"/>
      <c r="Q130" s="63"/>
      <c r="R130" s="61">
        <f>SUM(N130:Q130)</f>
        <v>8</v>
      </c>
      <c r="S130" s="68">
        <f t="shared" si="16"/>
        <v>12</v>
      </c>
    </row>
    <row r="131" spans="1:19" hidden="1" x14ac:dyDescent="0.35">
      <c r="A131" s="111"/>
      <c r="B131" s="54"/>
      <c r="C131" s="60" t="s">
        <v>228</v>
      </c>
      <c r="D131" s="60">
        <v>1</v>
      </c>
      <c r="E131" s="60"/>
      <c r="F131" s="60"/>
      <c r="G131" s="60"/>
      <c r="H131" s="61">
        <f>SUM(D131:G131)</f>
        <v>1</v>
      </c>
      <c r="I131" s="60">
        <v>4</v>
      </c>
      <c r="J131" s="60">
        <v>1</v>
      </c>
      <c r="K131" s="60"/>
      <c r="L131" s="60"/>
      <c r="M131" s="61">
        <f>SUM(I131:L131)</f>
        <v>5</v>
      </c>
      <c r="N131" s="60">
        <v>3</v>
      </c>
      <c r="O131" s="60">
        <v>2</v>
      </c>
      <c r="P131" s="60"/>
      <c r="Q131" s="60"/>
      <c r="R131" s="61">
        <f>SUM(N131:Q131)</f>
        <v>5</v>
      </c>
      <c r="S131" s="68">
        <f t="shared" si="16"/>
        <v>11</v>
      </c>
    </row>
    <row r="132" spans="1:19" hidden="1" x14ac:dyDescent="0.35">
      <c r="A132" s="111"/>
      <c r="B132" s="54"/>
      <c r="C132" s="63" t="s">
        <v>235</v>
      </c>
      <c r="D132" s="63"/>
      <c r="E132" s="63"/>
      <c r="F132" s="63"/>
      <c r="G132" s="63"/>
      <c r="H132" s="61">
        <f>SUM(D132:G132)</f>
        <v>0</v>
      </c>
      <c r="I132" s="63">
        <v>3</v>
      </c>
      <c r="J132" s="63"/>
      <c r="K132" s="63"/>
      <c r="L132" s="63"/>
      <c r="M132" s="61">
        <f>SUM(I132:L132)</f>
        <v>3</v>
      </c>
      <c r="N132" s="63">
        <v>6</v>
      </c>
      <c r="O132" s="63">
        <v>2</v>
      </c>
      <c r="P132" s="63"/>
      <c r="Q132" s="63"/>
      <c r="R132" s="61">
        <f>SUM(N132:Q132)</f>
        <v>8</v>
      </c>
      <c r="S132" s="68">
        <f t="shared" si="16"/>
        <v>11</v>
      </c>
    </row>
    <row r="133" spans="1:19" x14ac:dyDescent="0.35">
      <c r="A133" s="66" t="s">
        <v>283</v>
      </c>
      <c r="B133" s="67">
        <v>7</v>
      </c>
      <c r="C133" s="66"/>
      <c r="D133" s="66">
        <f t="shared" ref="D133:R133" si="31">SUM(D129:D132)</f>
        <v>1</v>
      </c>
      <c r="E133" s="66">
        <f t="shared" si="31"/>
        <v>0</v>
      </c>
      <c r="F133" s="66">
        <f t="shared" si="31"/>
        <v>0</v>
      </c>
      <c r="G133" s="66">
        <f t="shared" si="31"/>
        <v>0</v>
      </c>
      <c r="H133" s="61">
        <f t="shared" si="31"/>
        <v>1</v>
      </c>
      <c r="I133" s="66">
        <f t="shared" si="31"/>
        <v>7</v>
      </c>
      <c r="J133" s="66">
        <f t="shared" si="31"/>
        <v>6</v>
      </c>
      <c r="K133" s="66">
        <f t="shared" si="31"/>
        <v>0</v>
      </c>
      <c r="L133" s="66">
        <f t="shared" si="31"/>
        <v>0</v>
      </c>
      <c r="M133" s="61">
        <f t="shared" si="31"/>
        <v>13</v>
      </c>
      <c r="N133" s="66">
        <f t="shared" si="31"/>
        <v>21</v>
      </c>
      <c r="O133" s="66">
        <f t="shared" si="31"/>
        <v>11</v>
      </c>
      <c r="P133" s="66">
        <f t="shared" si="31"/>
        <v>0</v>
      </c>
      <c r="Q133" s="66">
        <f t="shared" si="31"/>
        <v>0</v>
      </c>
      <c r="R133" s="61">
        <f t="shared" si="31"/>
        <v>32</v>
      </c>
      <c r="S133" s="68">
        <f t="shared" ref="S133:S196" si="32">SUM(H133,M133,R133)</f>
        <v>46</v>
      </c>
    </row>
    <row r="134" spans="1:19" hidden="1" x14ac:dyDescent="0.35">
      <c r="A134" s="59" t="s">
        <v>285</v>
      </c>
      <c r="B134" s="54">
        <v>21</v>
      </c>
      <c r="C134" s="60" t="s">
        <v>225</v>
      </c>
      <c r="D134" s="60"/>
      <c r="E134" s="60"/>
      <c r="F134" s="60"/>
      <c r="G134" s="60"/>
      <c r="H134" s="61">
        <f>SUM(D134:G134)</f>
        <v>0</v>
      </c>
      <c r="I134" s="60"/>
      <c r="J134" s="60"/>
      <c r="K134" s="60"/>
      <c r="L134" s="60"/>
      <c r="M134" s="61">
        <f>SUM(I134:L134)</f>
        <v>0</v>
      </c>
      <c r="N134" s="60"/>
      <c r="O134" s="60"/>
      <c r="P134" s="60"/>
      <c r="Q134" s="60"/>
      <c r="R134" s="61">
        <f>SUM(N134:Q134)</f>
        <v>0</v>
      </c>
      <c r="S134" s="68">
        <f t="shared" si="32"/>
        <v>0</v>
      </c>
    </row>
    <row r="135" spans="1:19" hidden="1" x14ac:dyDescent="0.35">
      <c r="A135" s="111" t="s">
        <v>286</v>
      </c>
      <c r="B135" s="54"/>
      <c r="C135" s="63" t="s">
        <v>227</v>
      </c>
      <c r="D135" s="63"/>
      <c r="E135" s="63"/>
      <c r="F135" s="63"/>
      <c r="G135" s="63"/>
      <c r="H135" s="61">
        <f>SUM(D135:G135)</f>
        <v>0</v>
      </c>
      <c r="I135" s="63"/>
      <c r="J135" s="63"/>
      <c r="K135" s="63"/>
      <c r="L135" s="63"/>
      <c r="M135" s="61">
        <f>SUM(I135:L135)</f>
        <v>0</v>
      </c>
      <c r="N135" s="63"/>
      <c r="O135" s="63"/>
      <c r="P135" s="63"/>
      <c r="Q135" s="63"/>
      <c r="R135" s="61">
        <f>SUM(N135:Q135)</f>
        <v>0</v>
      </c>
      <c r="S135" s="68">
        <f t="shared" si="32"/>
        <v>0</v>
      </c>
    </row>
    <row r="136" spans="1:19" hidden="1" x14ac:dyDescent="0.35">
      <c r="A136" s="111"/>
      <c r="B136" s="54"/>
      <c r="C136" s="60" t="s">
        <v>228</v>
      </c>
      <c r="D136" s="60"/>
      <c r="E136" s="60"/>
      <c r="F136" s="60"/>
      <c r="G136" s="60"/>
      <c r="H136" s="61">
        <f>SUM(D136:G136)</f>
        <v>0</v>
      </c>
      <c r="I136" s="60"/>
      <c r="J136" s="60"/>
      <c r="K136" s="60"/>
      <c r="L136" s="60"/>
      <c r="M136" s="61">
        <f>SUM(I136:L136)</f>
        <v>0</v>
      </c>
      <c r="N136" s="60"/>
      <c r="O136" s="60"/>
      <c r="P136" s="60"/>
      <c r="Q136" s="60"/>
      <c r="R136" s="61">
        <f>SUM(N136:Q136)</f>
        <v>0</v>
      </c>
      <c r="S136" s="68">
        <f t="shared" si="32"/>
        <v>0</v>
      </c>
    </row>
    <row r="137" spans="1:19" hidden="1" x14ac:dyDescent="0.35">
      <c r="A137" s="111"/>
      <c r="B137" s="54"/>
      <c r="C137" s="63" t="s">
        <v>235</v>
      </c>
      <c r="D137" s="63"/>
      <c r="E137" s="63"/>
      <c r="F137" s="63"/>
      <c r="G137" s="63"/>
      <c r="H137" s="61">
        <f>SUM(D137:G137)</f>
        <v>0</v>
      </c>
      <c r="I137" s="63"/>
      <c r="J137" s="63"/>
      <c r="K137" s="63"/>
      <c r="L137" s="63"/>
      <c r="M137" s="61">
        <f>SUM(I137:L137)</f>
        <v>0</v>
      </c>
      <c r="N137" s="63"/>
      <c r="O137" s="63"/>
      <c r="P137" s="63"/>
      <c r="Q137" s="63"/>
      <c r="R137" s="61">
        <f>SUM(N137:Q137)</f>
        <v>0</v>
      </c>
      <c r="S137" s="68">
        <f t="shared" si="32"/>
        <v>0</v>
      </c>
    </row>
    <row r="138" spans="1:19" hidden="1" x14ac:dyDescent="0.35">
      <c r="A138" s="66" t="s">
        <v>286</v>
      </c>
      <c r="B138" s="67"/>
      <c r="C138" s="66"/>
      <c r="D138" s="66">
        <f t="shared" ref="D138:R138" si="33">SUM(D134:D137)</f>
        <v>0</v>
      </c>
      <c r="E138" s="66">
        <f t="shared" si="33"/>
        <v>0</v>
      </c>
      <c r="F138" s="66">
        <f t="shared" si="33"/>
        <v>0</v>
      </c>
      <c r="G138" s="66">
        <f t="shared" si="33"/>
        <v>0</v>
      </c>
      <c r="H138" s="61">
        <f t="shared" si="33"/>
        <v>0</v>
      </c>
      <c r="I138" s="66">
        <f t="shared" si="33"/>
        <v>0</v>
      </c>
      <c r="J138" s="66">
        <f t="shared" si="33"/>
        <v>0</v>
      </c>
      <c r="K138" s="66">
        <f t="shared" si="33"/>
        <v>0</v>
      </c>
      <c r="L138" s="66">
        <f t="shared" si="33"/>
        <v>0</v>
      </c>
      <c r="M138" s="61">
        <f t="shared" si="33"/>
        <v>0</v>
      </c>
      <c r="N138" s="66">
        <f t="shared" si="33"/>
        <v>0</v>
      </c>
      <c r="O138" s="66">
        <f t="shared" si="33"/>
        <v>0</v>
      </c>
      <c r="P138" s="66">
        <f t="shared" si="33"/>
        <v>0</v>
      </c>
      <c r="Q138" s="66">
        <f t="shared" si="33"/>
        <v>0</v>
      </c>
      <c r="R138" s="61">
        <f t="shared" si="33"/>
        <v>0</v>
      </c>
      <c r="S138" s="68">
        <f t="shared" si="32"/>
        <v>0</v>
      </c>
    </row>
    <row r="139" spans="1:19" hidden="1" x14ac:dyDescent="0.35">
      <c r="A139" s="111" t="s">
        <v>287</v>
      </c>
      <c r="B139" s="54"/>
      <c r="C139" s="60" t="s">
        <v>225</v>
      </c>
      <c r="D139" s="60">
        <v>3</v>
      </c>
      <c r="E139" s="60">
        <v>1</v>
      </c>
      <c r="F139" s="60"/>
      <c r="G139" s="60"/>
      <c r="H139" s="61">
        <f>SUM(D139:G139)</f>
        <v>4</v>
      </c>
      <c r="I139" s="60"/>
      <c r="J139" s="60"/>
      <c r="K139" s="60"/>
      <c r="L139" s="60"/>
      <c r="M139" s="61">
        <f>SUM(I139:L139)</f>
        <v>0</v>
      </c>
      <c r="N139" s="60">
        <v>8</v>
      </c>
      <c r="O139" s="60">
        <v>5</v>
      </c>
      <c r="P139" s="60"/>
      <c r="Q139" s="60"/>
      <c r="R139" s="61">
        <f>SUM(N139:Q139)</f>
        <v>13</v>
      </c>
      <c r="S139" s="68">
        <f t="shared" si="32"/>
        <v>17</v>
      </c>
    </row>
    <row r="140" spans="1:19" hidden="1" x14ac:dyDescent="0.35">
      <c r="A140" s="111"/>
      <c r="B140" s="54"/>
      <c r="C140" s="63" t="s">
        <v>227</v>
      </c>
      <c r="D140" s="63"/>
      <c r="E140" s="63"/>
      <c r="F140" s="63"/>
      <c r="G140" s="63"/>
      <c r="H140" s="61">
        <f>SUM(D140:G140)</f>
        <v>0</v>
      </c>
      <c r="I140" s="63"/>
      <c r="J140" s="63"/>
      <c r="K140" s="63"/>
      <c r="L140" s="63"/>
      <c r="M140" s="61">
        <f>SUM(I140:L140)</f>
        <v>0</v>
      </c>
      <c r="N140" s="63">
        <v>11</v>
      </c>
      <c r="O140" s="63">
        <v>5</v>
      </c>
      <c r="P140" s="63"/>
      <c r="Q140" s="63"/>
      <c r="R140" s="61">
        <f>SUM(N140:Q140)</f>
        <v>16</v>
      </c>
      <c r="S140" s="68">
        <f t="shared" si="32"/>
        <v>16</v>
      </c>
    </row>
    <row r="141" spans="1:19" hidden="1" x14ac:dyDescent="0.35">
      <c r="A141" s="111"/>
      <c r="B141" s="54"/>
      <c r="C141" s="60" t="s">
        <v>228</v>
      </c>
      <c r="D141" s="60">
        <v>3</v>
      </c>
      <c r="E141" s="60"/>
      <c r="F141" s="60"/>
      <c r="G141" s="60"/>
      <c r="H141" s="61">
        <f>SUM(D141:G141)</f>
        <v>3</v>
      </c>
      <c r="I141" s="60">
        <v>5</v>
      </c>
      <c r="J141" s="60">
        <v>1</v>
      </c>
      <c r="K141" s="60"/>
      <c r="L141" s="60"/>
      <c r="M141" s="61">
        <f>SUM(I141:L141)</f>
        <v>6</v>
      </c>
      <c r="N141" s="60">
        <v>3</v>
      </c>
      <c r="O141" s="60">
        <v>4</v>
      </c>
      <c r="P141" s="60"/>
      <c r="Q141" s="60"/>
      <c r="R141" s="61">
        <f>SUM(N141:Q141)</f>
        <v>7</v>
      </c>
      <c r="S141" s="68">
        <f t="shared" si="32"/>
        <v>16</v>
      </c>
    </row>
    <row r="142" spans="1:19" hidden="1" x14ac:dyDescent="0.35">
      <c r="A142" s="111"/>
      <c r="B142" s="54"/>
      <c r="C142" s="63" t="s">
        <v>235</v>
      </c>
      <c r="D142" s="63"/>
      <c r="E142" s="63"/>
      <c r="F142" s="63"/>
      <c r="G142" s="63"/>
      <c r="H142" s="61">
        <f>SUM(D142:G142)</f>
        <v>0</v>
      </c>
      <c r="I142" s="63"/>
      <c r="J142" s="63"/>
      <c r="K142" s="63"/>
      <c r="L142" s="63"/>
      <c r="M142" s="61">
        <f>SUM(I142:L142)</f>
        <v>0</v>
      </c>
      <c r="N142" s="63"/>
      <c r="O142" s="63"/>
      <c r="P142" s="63"/>
      <c r="Q142" s="63"/>
      <c r="R142" s="61">
        <f>SUM(N142:Q142)</f>
        <v>0</v>
      </c>
      <c r="S142" s="68">
        <f t="shared" si="32"/>
        <v>0</v>
      </c>
    </row>
    <row r="143" spans="1:19" hidden="1" x14ac:dyDescent="0.35">
      <c r="A143" s="76" t="s">
        <v>288</v>
      </c>
      <c r="B143" s="67"/>
      <c r="C143" s="66"/>
      <c r="D143" s="66">
        <f t="shared" ref="D143:R143" si="34">SUM(D139:D142)</f>
        <v>6</v>
      </c>
      <c r="E143" s="66">
        <f t="shared" si="34"/>
        <v>1</v>
      </c>
      <c r="F143" s="66">
        <f t="shared" si="34"/>
        <v>0</v>
      </c>
      <c r="G143" s="66">
        <f t="shared" si="34"/>
        <v>0</v>
      </c>
      <c r="H143" s="61">
        <f t="shared" si="34"/>
        <v>7</v>
      </c>
      <c r="I143" s="66">
        <f t="shared" si="34"/>
        <v>5</v>
      </c>
      <c r="J143" s="66">
        <f t="shared" si="34"/>
        <v>1</v>
      </c>
      <c r="K143" s="66">
        <f t="shared" si="34"/>
        <v>0</v>
      </c>
      <c r="L143" s="66">
        <f t="shared" si="34"/>
        <v>0</v>
      </c>
      <c r="M143" s="61">
        <f t="shared" si="34"/>
        <v>6</v>
      </c>
      <c r="N143" s="66">
        <f t="shared" si="34"/>
        <v>22</v>
      </c>
      <c r="O143" s="66">
        <f t="shared" si="34"/>
        <v>14</v>
      </c>
      <c r="P143" s="66">
        <f t="shared" si="34"/>
        <v>0</v>
      </c>
      <c r="Q143" s="66">
        <f t="shared" si="34"/>
        <v>0</v>
      </c>
      <c r="R143" s="61">
        <f t="shared" si="34"/>
        <v>36</v>
      </c>
      <c r="S143" s="68">
        <f t="shared" si="32"/>
        <v>49</v>
      </c>
    </row>
    <row r="144" spans="1:19" x14ac:dyDescent="0.35">
      <c r="A144" s="66" t="s">
        <v>285</v>
      </c>
      <c r="B144" s="67">
        <v>21</v>
      </c>
      <c r="C144" s="66"/>
      <c r="D144" s="66">
        <f t="shared" ref="D144:R144" si="35">SUM(D143,D138)</f>
        <v>6</v>
      </c>
      <c r="E144" s="66">
        <f t="shared" si="35"/>
        <v>1</v>
      </c>
      <c r="F144" s="66">
        <f t="shared" si="35"/>
        <v>0</v>
      </c>
      <c r="G144" s="66">
        <f t="shared" si="35"/>
        <v>0</v>
      </c>
      <c r="H144" s="61">
        <f t="shared" si="35"/>
        <v>7</v>
      </c>
      <c r="I144" s="66">
        <f t="shared" si="35"/>
        <v>5</v>
      </c>
      <c r="J144" s="66">
        <f t="shared" si="35"/>
        <v>1</v>
      </c>
      <c r="K144" s="66">
        <f t="shared" si="35"/>
        <v>0</v>
      </c>
      <c r="L144" s="66">
        <f t="shared" si="35"/>
        <v>0</v>
      </c>
      <c r="M144" s="61">
        <f t="shared" si="35"/>
        <v>6</v>
      </c>
      <c r="N144" s="66">
        <f t="shared" si="35"/>
        <v>22</v>
      </c>
      <c r="O144" s="66">
        <f t="shared" si="35"/>
        <v>14</v>
      </c>
      <c r="P144" s="66">
        <f t="shared" si="35"/>
        <v>0</v>
      </c>
      <c r="Q144" s="66">
        <f t="shared" si="35"/>
        <v>0</v>
      </c>
      <c r="R144" s="61">
        <f t="shared" si="35"/>
        <v>36</v>
      </c>
      <c r="S144" s="68">
        <f t="shared" si="32"/>
        <v>49</v>
      </c>
    </row>
    <row r="145" spans="1:19" hidden="1" x14ac:dyDescent="0.35">
      <c r="A145" s="59" t="s">
        <v>289</v>
      </c>
      <c r="B145" s="54" t="s">
        <v>290</v>
      </c>
      <c r="C145" s="60" t="s">
        <v>225</v>
      </c>
      <c r="D145" s="60"/>
      <c r="E145" s="60"/>
      <c r="F145" s="60"/>
      <c r="G145" s="60"/>
      <c r="H145" s="61">
        <f>SUM(D145:G145)</f>
        <v>0</v>
      </c>
      <c r="I145" s="60">
        <v>2</v>
      </c>
      <c r="J145" s="60"/>
      <c r="K145" s="60"/>
      <c r="L145" s="60"/>
      <c r="M145" s="61">
        <f>SUM(I145:L145)</f>
        <v>2</v>
      </c>
      <c r="N145" s="60">
        <v>6</v>
      </c>
      <c r="O145" s="60"/>
      <c r="P145" s="60"/>
      <c r="Q145" s="60"/>
      <c r="R145" s="61">
        <f>SUM(N145:Q145)</f>
        <v>6</v>
      </c>
      <c r="S145" s="68">
        <f t="shared" si="32"/>
        <v>8</v>
      </c>
    </row>
    <row r="146" spans="1:19" hidden="1" x14ac:dyDescent="0.35">
      <c r="A146" s="111" t="s">
        <v>291</v>
      </c>
      <c r="B146" s="54"/>
      <c r="C146" s="63" t="s">
        <v>227</v>
      </c>
      <c r="D146" s="63"/>
      <c r="E146" s="63"/>
      <c r="F146" s="63"/>
      <c r="G146" s="63"/>
      <c r="H146" s="61">
        <f>SUM(D146:G146)</f>
        <v>0</v>
      </c>
      <c r="I146" s="63">
        <v>1</v>
      </c>
      <c r="J146" s="63"/>
      <c r="K146" s="63"/>
      <c r="L146" s="63"/>
      <c r="M146" s="61">
        <f>SUM(I146:L146)</f>
        <v>1</v>
      </c>
      <c r="N146" s="63">
        <v>7</v>
      </c>
      <c r="O146" s="63"/>
      <c r="P146" s="63"/>
      <c r="Q146" s="63"/>
      <c r="R146" s="61">
        <f>SUM(N146:Q146)</f>
        <v>7</v>
      </c>
      <c r="S146" s="68">
        <f t="shared" si="32"/>
        <v>8</v>
      </c>
    </row>
    <row r="147" spans="1:19" hidden="1" x14ac:dyDescent="0.35">
      <c r="A147" s="111"/>
      <c r="B147" s="54"/>
      <c r="C147" s="60" t="s">
        <v>228</v>
      </c>
      <c r="D147" s="60">
        <v>2</v>
      </c>
      <c r="E147" s="60"/>
      <c r="F147" s="60"/>
      <c r="G147" s="60"/>
      <c r="H147" s="61">
        <f>SUM(D147:G147)</f>
        <v>2</v>
      </c>
      <c r="I147" s="60">
        <v>1</v>
      </c>
      <c r="J147" s="60"/>
      <c r="K147" s="60"/>
      <c r="L147" s="60"/>
      <c r="M147" s="61">
        <f>SUM(I147:L147)</f>
        <v>1</v>
      </c>
      <c r="N147" s="60">
        <v>4</v>
      </c>
      <c r="O147" s="60"/>
      <c r="P147" s="60"/>
      <c r="Q147" s="60"/>
      <c r="R147" s="61">
        <f>SUM(N147:Q147)</f>
        <v>4</v>
      </c>
      <c r="S147" s="68">
        <f t="shared" si="32"/>
        <v>7</v>
      </c>
    </row>
    <row r="148" spans="1:19" hidden="1" x14ac:dyDescent="0.35">
      <c r="A148" s="111"/>
      <c r="B148" s="54"/>
      <c r="C148" s="63" t="s">
        <v>235</v>
      </c>
      <c r="D148" s="63">
        <v>1</v>
      </c>
      <c r="E148" s="63"/>
      <c r="F148" s="63"/>
      <c r="G148" s="63"/>
      <c r="H148" s="61">
        <f>SUM(D148:G148)</f>
        <v>1</v>
      </c>
      <c r="I148" s="63">
        <v>2</v>
      </c>
      <c r="J148" s="63"/>
      <c r="K148" s="63"/>
      <c r="L148" s="63"/>
      <c r="M148" s="61">
        <f>SUM(I148:L148)</f>
        <v>2</v>
      </c>
      <c r="N148" s="63">
        <v>3</v>
      </c>
      <c r="O148" s="63"/>
      <c r="P148" s="63"/>
      <c r="Q148" s="63"/>
      <c r="R148" s="61">
        <f>SUM(N148:Q148)</f>
        <v>3</v>
      </c>
      <c r="S148" s="68">
        <f t="shared" si="32"/>
        <v>6</v>
      </c>
    </row>
    <row r="149" spans="1:19" x14ac:dyDescent="0.35">
      <c r="A149" s="66" t="s">
        <v>289</v>
      </c>
      <c r="B149" s="67" t="s">
        <v>290</v>
      </c>
      <c r="C149" s="66"/>
      <c r="D149" s="66">
        <f t="shared" ref="D149:R149" si="36">SUM(D145:D148)</f>
        <v>3</v>
      </c>
      <c r="E149" s="66">
        <f t="shared" si="36"/>
        <v>0</v>
      </c>
      <c r="F149" s="66">
        <f t="shared" si="36"/>
        <v>0</v>
      </c>
      <c r="G149" s="66">
        <f t="shared" si="36"/>
        <v>0</v>
      </c>
      <c r="H149" s="61">
        <f t="shared" si="36"/>
        <v>3</v>
      </c>
      <c r="I149" s="66">
        <f t="shared" si="36"/>
        <v>6</v>
      </c>
      <c r="J149" s="66">
        <f t="shared" si="36"/>
        <v>0</v>
      </c>
      <c r="K149" s="66">
        <f t="shared" si="36"/>
        <v>0</v>
      </c>
      <c r="L149" s="66">
        <f t="shared" si="36"/>
        <v>0</v>
      </c>
      <c r="M149" s="61">
        <f t="shared" si="36"/>
        <v>6</v>
      </c>
      <c r="N149" s="66">
        <f t="shared" si="36"/>
        <v>20</v>
      </c>
      <c r="O149" s="66">
        <f t="shared" si="36"/>
        <v>0</v>
      </c>
      <c r="P149" s="66">
        <f t="shared" si="36"/>
        <v>0</v>
      </c>
      <c r="Q149" s="66">
        <f t="shared" si="36"/>
        <v>0</v>
      </c>
      <c r="R149" s="61">
        <f t="shared" si="36"/>
        <v>20</v>
      </c>
      <c r="S149" s="68">
        <f t="shared" si="32"/>
        <v>29</v>
      </c>
    </row>
    <row r="150" spans="1:19" hidden="1" x14ac:dyDescent="0.35">
      <c r="A150" s="59" t="s">
        <v>292</v>
      </c>
      <c r="B150" s="54" t="s">
        <v>293</v>
      </c>
      <c r="C150" s="60" t="s">
        <v>225</v>
      </c>
      <c r="D150" s="60">
        <v>2</v>
      </c>
      <c r="E150" s="60"/>
      <c r="F150" s="60"/>
      <c r="G150" s="60"/>
      <c r="H150" s="61">
        <f>SUM(D150:G150)</f>
        <v>2</v>
      </c>
      <c r="I150" s="60">
        <v>3</v>
      </c>
      <c r="J150" s="60"/>
      <c r="K150" s="60"/>
      <c r="L150" s="60"/>
      <c r="M150" s="61">
        <f>SUM(I150:L150)</f>
        <v>3</v>
      </c>
      <c r="N150" s="60">
        <v>12</v>
      </c>
      <c r="O150" s="60"/>
      <c r="P150" s="60"/>
      <c r="Q150" s="60"/>
      <c r="R150" s="61">
        <f>SUM(N150:Q150)</f>
        <v>12</v>
      </c>
      <c r="S150" s="68">
        <f t="shared" si="32"/>
        <v>17</v>
      </c>
    </row>
    <row r="151" spans="1:19" hidden="1" x14ac:dyDescent="0.35">
      <c r="A151" s="111" t="s">
        <v>267</v>
      </c>
      <c r="B151" s="54"/>
      <c r="C151" s="63" t="s">
        <v>227</v>
      </c>
      <c r="D151" s="63"/>
      <c r="E151" s="63"/>
      <c r="F151" s="63"/>
      <c r="G151" s="63"/>
      <c r="H151" s="61">
        <f>SUM(D151:G151)</f>
        <v>0</v>
      </c>
      <c r="I151" s="63">
        <v>5</v>
      </c>
      <c r="J151" s="63"/>
      <c r="K151" s="63"/>
      <c r="L151" s="63"/>
      <c r="M151" s="61">
        <f>SUM(I151:L151)</f>
        <v>5</v>
      </c>
      <c r="N151" s="63">
        <v>18</v>
      </c>
      <c r="O151" s="63"/>
      <c r="P151" s="63"/>
      <c r="Q151" s="63"/>
      <c r="R151" s="61">
        <f>SUM(N151:Q151)</f>
        <v>18</v>
      </c>
      <c r="S151" s="68">
        <f t="shared" si="32"/>
        <v>23</v>
      </c>
    </row>
    <row r="152" spans="1:19" hidden="1" x14ac:dyDescent="0.35">
      <c r="A152" s="111"/>
      <c r="B152" s="54"/>
      <c r="C152" s="60" t="s">
        <v>228</v>
      </c>
      <c r="D152" s="60">
        <v>3</v>
      </c>
      <c r="E152" s="60"/>
      <c r="F152" s="60"/>
      <c r="G152" s="60"/>
      <c r="H152" s="61">
        <f>SUM(D152:G152)</f>
        <v>3</v>
      </c>
      <c r="I152" s="60">
        <v>4</v>
      </c>
      <c r="J152" s="60"/>
      <c r="K152" s="60"/>
      <c r="L152" s="60"/>
      <c r="M152" s="61">
        <f>SUM(I152:L152)</f>
        <v>4</v>
      </c>
      <c r="N152" s="60">
        <v>19</v>
      </c>
      <c r="O152" s="60"/>
      <c r="P152" s="60"/>
      <c r="Q152" s="60"/>
      <c r="R152" s="61">
        <f>SUM(N152:Q152)</f>
        <v>19</v>
      </c>
      <c r="S152" s="68">
        <f t="shared" si="32"/>
        <v>26</v>
      </c>
    </row>
    <row r="153" spans="1:19" hidden="1" x14ac:dyDescent="0.35">
      <c r="A153" s="111"/>
      <c r="B153" s="54"/>
      <c r="C153" s="63" t="s">
        <v>235</v>
      </c>
      <c r="D153" s="63">
        <v>1</v>
      </c>
      <c r="E153" s="63"/>
      <c r="F153" s="63"/>
      <c r="G153" s="63"/>
      <c r="H153" s="61">
        <f>SUM(D153:G153)</f>
        <v>1</v>
      </c>
      <c r="I153" s="63">
        <v>6</v>
      </c>
      <c r="J153" s="63"/>
      <c r="K153" s="63"/>
      <c r="L153" s="63"/>
      <c r="M153" s="61">
        <f>SUM(I153:L153)</f>
        <v>6</v>
      </c>
      <c r="N153" s="63">
        <v>16</v>
      </c>
      <c r="O153" s="63"/>
      <c r="P153" s="63"/>
      <c r="Q153" s="63"/>
      <c r="R153" s="61">
        <f>SUM(N153:Q153)</f>
        <v>16</v>
      </c>
      <c r="S153" s="68">
        <f t="shared" si="32"/>
        <v>23</v>
      </c>
    </row>
    <row r="154" spans="1:19" x14ac:dyDescent="0.35">
      <c r="A154" s="66" t="s">
        <v>292</v>
      </c>
      <c r="B154" s="67" t="s">
        <v>293</v>
      </c>
      <c r="C154" s="66"/>
      <c r="D154" s="66">
        <f t="shared" ref="D154:R154" si="37">SUM(D150:D153)</f>
        <v>6</v>
      </c>
      <c r="E154" s="66">
        <f t="shared" si="37"/>
        <v>0</v>
      </c>
      <c r="F154" s="66">
        <f t="shared" si="37"/>
        <v>0</v>
      </c>
      <c r="G154" s="66">
        <f t="shared" si="37"/>
        <v>0</v>
      </c>
      <c r="H154" s="61">
        <f t="shared" si="37"/>
        <v>6</v>
      </c>
      <c r="I154" s="66">
        <f t="shared" si="37"/>
        <v>18</v>
      </c>
      <c r="J154" s="66">
        <f t="shared" si="37"/>
        <v>0</v>
      </c>
      <c r="K154" s="66">
        <f t="shared" si="37"/>
        <v>0</v>
      </c>
      <c r="L154" s="66">
        <f t="shared" si="37"/>
        <v>0</v>
      </c>
      <c r="M154" s="61">
        <f t="shared" si="37"/>
        <v>18</v>
      </c>
      <c r="N154" s="66">
        <f t="shared" si="37"/>
        <v>65</v>
      </c>
      <c r="O154" s="66">
        <f t="shared" si="37"/>
        <v>0</v>
      </c>
      <c r="P154" s="66">
        <f t="shared" si="37"/>
        <v>0</v>
      </c>
      <c r="Q154" s="66">
        <f t="shared" si="37"/>
        <v>0</v>
      </c>
      <c r="R154" s="61">
        <f t="shared" si="37"/>
        <v>65</v>
      </c>
      <c r="S154" s="68">
        <f t="shared" si="32"/>
        <v>89</v>
      </c>
    </row>
    <row r="155" spans="1:19" hidden="1" x14ac:dyDescent="0.35">
      <c r="A155" s="59" t="s">
        <v>294</v>
      </c>
      <c r="B155" s="54">
        <v>30</v>
      </c>
      <c r="C155" s="60" t="s">
        <v>225</v>
      </c>
      <c r="D155" s="60"/>
      <c r="E155" s="60"/>
      <c r="F155" s="60"/>
      <c r="G155" s="60"/>
      <c r="H155" s="61">
        <f>SUM(D155:G155)</f>
        <v>0</v>
      </c>
      <c r="I155" s="60"/>
      <c r="J155" s="60"/>
      <c r="K155" s="60"/>
      <c r="L155" s="60"/>
      <c r="M155" s="61">
        <f>SUM(I155:L155)</f>
        <v>0</v>
      </c>
      <c r="N155" s="60"/>
      <c r="O155" s="60"/>
      <c r="P155" s="60"/>
      <c r="Q155" s="60"/>
      <c r="R155" s="61">
        <f>SUM(N155:Q155)</f>
        <v>0</v>
      </c>
      <c r="S155" s="68">
        <f t="shared" si="32"/>
        <v>0</v>
      </c>
    </row>
    <row r="156" spans="1:19" hidden="1" x14ac:dyDescent="0.35">
      <c r="A156" s="111" t="s">
        <v>263</v>
      </c>
      <c r="B156" s="54"/>
      <c r="C156" s="63" t="s">
        <v>227</v>
      </c>
      <c r="D156" s="63"/>
      <c r="E156" s="63"/>
      <c r="F156" s="63"/>
      <c r="G156" s="63"/>
      <c r="H156" s="61">
        <f>SUM(D156:G156)</f>
        <v>0</v>
      </c>
      <c r="I156" s="63"/>
      <c r="J156" s="63"/>
      <c r="K156" s="63"/>
      <c r="L156" s="63"/>
      <c r="M156" s="61">
        <f>SUM(I156:L156)</f>
        <v>0</v>
      </c>
      <c r="N156" s="63"/>
      <c r="O156" s="63"/>
      <c r="P156" s="63"/>
      <c r="Q156" s="63"/>
      <c r="R156" s="61">
        <f>SUM(N156:Q156)</f>
        <v>0</v>
      </c>
      <c r="S156" s="68">
        <f t="shared" si="32"/>
        <v>0</v>
      </c>
    </row>
    <row r="157" spans="1:19" hidden="1" x14ac:dyDescent="0.35">
      <c r="A157" s="111"/>
      <c r="B157" s="54"/>
      <c r="C157" s="60" t="s">
        <v>228</v>
      </c>
      <c r="D157" s="60"/>
      <c r="E157" s="60"/>
      <c r="F157" s="60"/>
      <c r="G157" s="60"/>
      <c r="H157" s="61">
        <f>SUM(D157:G157)</f>
        <v>0</v>
      </c>
      <c r="I157" s="60"/>
      <c r="J157" s="60"/>
      <c r="K157" s="60"/>
      <c r="L157" s="60"/>
      <c r="M157" s="61">
        <f>SUM(I157:L157)</f>
        <v>0</v>
      </c>
      <c r="N157" s="60"/>
      <c r="O157" s="60"/>
      <c r="P157" s="60"/>
      <c r="Q157" s="60"/>
      <c r="R157" s="61">
        <f>SUM(N157:Q157)</f>
        <v>0</v>
      </c>
      <c r="S157" s="68">
        <f t="shared" si="32"/>
        <v>0</v>
      </c>
    </row>
    <row r="158" spans="1:19" hidden="1" x14ac:dyDescent="0.35">
      <c r="A158" s="111"/>
      <c r="B158" s="54"/>
      <c r="C158" s="63" t="s">
        <v>235</v>
      </c>
      <c r="D158" s="63"/>
      <c r="E158" s="63"/>
      <c r="F158" s="63"/>
      <c r="G158" s="63"/>
      <c r="H158" s="61">
        <f>SUM(D158:G158)</f>
        <v>0</v>
      </c>
      <c r="I158" s="63"/>
      <c r="J158" s="63"/>
      <c r="K158" s="63"/>
      <c r="L158" s="63"/>
      <c r="M158" s="61">
        <f>SUM(I158:L158)</f>
        <v>0</v>
      </c>
      <c r="N158" s="63"/>
      <c r="O158" s="63"/>
      <c r="P158" s="63"/>
      <c r="Q158" s="63"/>
      <c r="R158" s="61">
        <f>SUM(N158:Q158)</f>
        <v>0</v>
      </c>
      <c r="S158" s="68">
        <f t="shared" si="32"/>
        <v>0</v>
      </c>
    </row>
    <row r="159" spans="1:19" x14ac:dyDescent="0.35">
      <c r="A159" s="66" t="s">
        <v>294</v>
      </c>
      <c r="B159" s="67">
        <v>30</v>
      </c>
      <c r="C159" s="66"/>
      <c r="D159" s="66">
        <f t="shared" ref="D159:R159" si="38">SUM(D155:D158)</f>
        <v>0</v>
      </c>
      <c r="E159" s="66">
        <f t="shared" si="38"/>
        <v>0</v>
      </c>
      <c r="F159" s="66">
        <f t="shared" si="38"/>
        <v>0</v>
      </c>
      <c r="G159" s="66">
        <f t="shared" si="38"/>
        <v>0</v>
      </c>
      <c r="H159" s="61">
        <f t="shared" si="38"/>
        <v>0</v>
      </c>
      <c r="I159" s="66">
        <f t="shared" si="38"/>
        <v>0</v>
      </c>
      <c r="J159" s="66">
        <f t="shared" si="38"/>
        <v>0</v>
      </c>
      <c r="K159" s="66">
        <f t="shared" si="38"/>
        <v>0</v>
      </c>
      <c r="L159" s="66">
        <f t="shared" si="38"/>
        <v>0</v>
      </c>
      <c r="M159" s="61">
        <f t="shared" si="38"/>
        <v>0</v>
      </c>
      <c r="N159" s="66">
        <f t="shared" si="38"/>
        <v>0</v>
      </c>
      <c r="O159" s="66">
        <f t="shared" si="38"/>
        <v>0</v>
      </c>
      <c r="P159" s="66">
        <f t="shared" si="38"/>
        <v>0</v>
      </c>
      <c r="Q159" s="66">
        <f t="shared" si="38"/>
        <v>0</v>
      </c>
      <c r="R159" s="61">
        <f t="shared" si="38"/>
        <v>0</v>
      </c>
      <c r="S159" s="68">
        <f t="shared" si="32"/>
        <v>0</v>
      </c>
    </row>
    <row r="160" spans="1:19" hidden="1" x14ac:dyDescent="0.35">
      <c r="A160" s="59" t="s">
        <v>295</v>
      </c>
      <c r="B160" s="54">
        <v>8</v>
      </c>
      <c r="C160" s="60" t="s">
        <v>225</v>
      </c>
      <c r="D160" s="60"/>
      <c r="E160" s="60"/>
      <c r="F160" s="60"/>
      <c r="G160" s="60"/>
      <c r="H160" s="61">
        <f>SUM(D160:G160)</f>
        <v>0</v>
      </c>
      <c r="I160" s="60"/>
      <c r="J160" s="60"/>
      <c r="K160" s="60"/>
      <c r="L160" s="60"/>
      <c r="M160" s="61">
        <f>SUM(I160:L160)</f>
        <v>0</v>
      </c>
      <c r="N160" s="60">
        <v>2</v>
      </c>
      <c r="O160" s="60"/>
      <c r="P160" s="60"/>
      <c r="Q160" s="60"/>
      <c r="R160" s="61">
        <f>SUM(N160:Q160)</f>
        <v>2</v>
      </c>
      <c r="S160" s="68">
        <f t="shared" si="32"/>
        <v>2</v>
      </c>
    </row>
    <row r="161" spans="1:19" hidden="1" x14ac:dyDescent="0.35">
      <c r="A161" s="111" t="s">
        <v>296</v>
      </c>
      <c r="B161" s="54"/>
      <c r="C161" s="63" t="s">
        <v>227</v>
      </c>
      <c r="D161" s="63"/>
      <c r="E161" s="63"/>
      <c r="F161" s="63"/>
      <c r="G161" s="63"/>
      <c r="H161" s="61">
        <f>SUM(D161:G161)</f>
        <v>0</v>
      </c>
      <c r="I161" s="63"/>
      <c r="J161" s="63"/>
      <c r="K161" s="63"/>
      <c r="L161" s="63"/>
      <c r="M161" s="61">
        <f>SUM(I161:L161)</f>
        <v>0</v>
      </c>
      <c r="N161" s="63"/>
      <c r="O161" s="63"/>
      <c r="P161" s="63"/>
      <c r="Q161" s="63"/>
      <c r="R161" s="61">
        <f>SUM(N161:Q161)</f>
        <v>0</v>
      </c>
      <c r="S161" s="68">
        <f t="shared" si="32"/>
        <v>0</v>
      </c>
    </row>
    <row r="162" spans="1:19" hidden="1" x14ac:dyDescent="0.35">
      <c r="A162" s="111"/>
      <c r="B162" s="54"/>
      <c r="C162" s="60" t="s">
        <v>228</v>
      </c>
      <c r="D162" s="60"/>
      <c r="E162" s="60"/>
      <c r="F162" s="60"/>
      <c r="G162" s="60"/>
      <c r="H162" s="61">
        <f>SUM(D162:G162)</f>
        <v>0</v>
      </c>
      <c r="I162" s="60"/>
      <c r="J162" s="60"/>
      <c r="K162" s="60"/>
      <c r="L162" s="60"/>
      <c r="M162" s="61">
        <f>SUM(I162:L162)</f>
        <v>0</v>
      </c>
      <c r="N162" s="60">
        <v>2</v>
      </c>
      <c r="O162" s="60"/>
      <c r="P162" s="60"/>
      <c r="Q162" s="60"/>
      <c r="R162" s="61">
        <f>SUM(N162:Q162)</f>
        <v>2</v>
      </c>
      <c r="S162" s="68">
        <f t="shared" si="32"/>
        <v>2</v>
      </c>
    </row>
    <row r="163" spans="1:19" hidden="1" x14ac:dyDescent="0.35">
      <c r="A163" s="111"/>
      <c r="B163" s="54"/>
      <c r="C163" s="63" t="s">
        <v>235</v>
      </c>
      <c r="D163" s="63">
        <v>2</v>
      </c>
      <c r="E163" s="63"/>
      <c r="F163" s="63"/>
      <c r="G163" s="63"/>
      <c r="H163" s="61">
        <f>SUM(D163:G163)</f>
        <v>2</v>
      </c>
      <c r="I163" s="63"/>
      <c r="J163" s="63"/>
      <c r="K163" s="63"/>
      <c r="L163" s="63"/>
      <c r="M163" s="61">
        <f>SUM(I163:L163)</f>
        <v>0</v>
      </c>
      <c r="N163" s="63">
        <v>1</v>
      </c>
      <c r="O163" s="63"/>
      <c r="P163" s="63"/>
      <c r="Q163" s="63"/>
      <c r="R163" s="61">
        <f>SUM(N163:Q163)</f>
        <v>1</v>
      </c>
      <c r="S163" s="68">
        <f t="shared" si="32"/>
        <v>3</v>
      </c>
    </row>
    <row r="164" spans="1:19" x14ac:dyDescent="0.35">
      <c r="A164" s="66" t="s">
        <v>295</v>
      </c>
      <c r="B164" s="67">
        <v>8</v>
      </c>
      <c r="C164" s="66"/>
      <c r="D164" s="66">
        <f t="shared" ref="D164:R164" si="39">SUM(D160:D163)</f>
        <v>2</v>
      </c>
      <c r="E164" s="66">
        <f t="shared" si="39"/>
        <v>0</v>
      </c>
      <c r="F164" s="66">
        <f t="shared" si="39"/>
        <v>0</v>
      </c>
      <c r="G164" s="66">
        <f t="shared" si="39"/>
        <v>0</v>
      </c>
      <c r="H164" s="61">
        <f t="shared" si="39"/>
        <v>2</v>
      </c>
      <c r="I164" s="66">
        <f t="shared" si="39"/>
        <v>0</v>
      </c>
      <c r="J164" s="66">
        <f t="shared" si="39"/>
        <v>0</v>
      </c>
      <c r="K164" s="66">
        <f t="shared" si="39"/>
        <v>0</v>
      </c>
      <c r="L164" s="66">
        <f t="shared" si="39"/>
        <v>0</v>
      </c>
      <c r="M164" s="61">
        <f t="shared" si="39"/>
        <v>0</v>
      </c>
      <c r="N164" s="66">
        <f t="shared" si="39"/>
        <v>5</v>
      </c>
      <c r="O164" s="66">
        <f t="shared" si="39"/>
        <v>0</v>
      </c>
      <c r="P164" s="66">
        <f t="shared" si="39"/>
        <v>0</v>
      </c>
      <c r="Q164" s="66">
        <f t="shared" si="39"/>
        <v>0</v>
      </c>
      <c r="R164" s="61">
        <f t="shared" si="39"/>
        <v>5</v>
      </c>
      <c r="S164" s="68">
        <f t="shared" si="32"/>
        <v>7</v>
      </c>
    </row>
    <row r="165" spans="1:19" hidden="1" x14ac:dyDescent="0.35">
      <c r="A165" s="59" t="s">
        <v>297</v>
      </c>
      <c r="B165" s="54">
        <v>18</v>
      </c>
      <c r="C165" s="60" t="s">
        <v>225</v>
      </c>
      <c r="D165" s="60">
        <v>18</v>
      </c>
      <c r="E165" s="60">
        <v>1</v>
      </c>
      <c r="F165" s="60"/>
      <c r="G165" s="60"/>
      <c r="H165" s="61">
        <f>SUM(D165:G165)</f>
        <v>19</v>
      </c>
      <c r="I165" s="60">
        <v>12</v>
      </c>
      <c r="J165" s="60">
        <v>2</v>
      </c>
      <c r="K165" s="60">
        <v>1</v>
      </c>
      <c r="L165" s="60"/>
      <c r="M165" s="61">
        <f>SUM(I165:L165)</f>
        <v>15</v>
      </c>
      <c r="N165" s="60">
        <v>123</v>
      </c>
      <c r="O165" s="60">
        <v>10</v>
      </c>
      <c r="P165" s="60">
        <v>5</v>
      </c>
      <c r="Q165" s="60"/>
      <c r="R165" s="61">
        <f>SUM(N165:Q165)</f>
        <v>138</v>
      </c>
      <c r="S165" s="68">
        <f t="shared" si="32"/>
        <v>172</v>
      </c>
    </row>
    <row r="166" spans="1:19" hidden="1" x14ac:dyDescent="0.35">
      <c r="A166" s="111" t="s">
        <v>298</v>
      </c>
      <c r="B166" s="54"/>
      <c r="C166" s="63" t="s">
        <v>227</v>
      </c>
      <c r="D166" s="63">
        <v>24</v>
      </c>
      <c r="E166" s="63">
        <v>3</v>
      </c>
      <c r="F166" s="63">
        <v>1</v>
      </c>
      <c r="G166" s="63"/>
      <c r="H166" s="61">
        <f>SUM(D166:G166)</f>
        <v>28</v>
      </c>
      <c r="I166" s="63">
        <v>23</v>
      </c>
      <c r="J166" s="63">
        <v>4</v>
      </c>
      <c r="K166" s="63"/>
      <c r="L166" s="63"/>
      <c r="M166" s="61">
        <f>SUM(I166:L166)</f>
        <v>27</v>
      </c>
      <c r="N166" s="63">
        <v>107</v>
      </c>
      <c r="O166" s="63">
        <v>6</v>
      </c>
      <c r="P166" s="63">
        <v>12</v>
      </c>
      <c r="Q166" s="63"/>
      <c r="R166" s="61">
        <f>SUM(N166:Q166)</f>
        <v>125</v>
      </c>
      <c r="S166" s="68">
        <f t="shared" si="32"/>
        <v>180</v>
      </c>
    </row>
    <row r="167" spans="1:19" hidden="1" x14ac:dyDescent="0.35">
      <c r="A167" s="111"/>
      <c r="B167" s="54"/>
      <c r="C167" s="60" t="s">
        <v>228</v>
      </c>
      <c r="D167" s="60">
        <v>26</v>
      </c>
      <c r="E167" s="60">
        <v>2</v>
      </c>
      <c r="F167" s="60"/>
      <c r="G167" s="60"/>
      <c r="H167" s="61">
        <f>SUM(D167:G167)</f>
        <v>28</v>
      </c>
      <c r="I167" s="60">
        <v>20</v>
      </c>
      <c r="J167" s="60"/>
      <c r="K167" s="60"/>
      <c r="L167" s="60"/>
      <c r="M167" s="61">
        <f>SUM(I167:L167)</f>
        <v>20</v>
      </c>
      <c r="N167" s="60">
        <v>99</v>
      </c>
      <c r="O167" s="60">
        <v>10</v>
      </c>
      <c r="P167" s="60">
        <v>14</v>
      </c>
      <c r="Q167" s="60"/>
      <c r="R167" s="61">
        <f>SUM(N167:Q167)</f>
        <v>123</v>
      </c>
      <c r="S167" s="68">
        <f t="shared" si="32"/>
        <v>171</v>
      </c>
    </row>
    <row r="168" spans="1:19" hidden="1" x14ac:dyDescent="0.35">
      <c r="A168" s="111"/>
      <c r="B168" s="54"/>
      <c r="C168" s="63" t="s">
        <v>235</v>
      </c>
      <c r="D168" s="63">
        <v>29</v>
      </c>
      <c r="E168" s="63">
        <v>3</v>
      </c>
      <c r="F168" s="63">
        <v>3</v>
      </c>
      <c r="G168" s="63"/>
      <c r="H168" s="61">
        <f>SUM(D168:G168)</f>
        <v>35</v>
      </c>
      <c r="I168" s="63">
        <v>23</v>
      </c>
      <c r="J168" s="63">
        <v>2</v>
      </c>
      <c r="K168" s="63"/>
      <c r="L168" s="63"/>
      <c r="M168" s="61">
        <f>SUM(I168:L168)</f>
        <v>25</v>
      </c>
      <c r="N168" s="63">
        <v>92</v>
      </c>
      <c r="O168" s="63">
        <v>6</v>
      </c>
      <c r="P168" s="63">
        <v>15</v>
      </c>
      <c r="Q168" s="63"/>
      <c r="R168" s="61">
        <f>SUM(N168:Q168)</f>
        <v>113</v>
      </c>
      <c r="S168" s="68">
        <f t="shared" si="32"/>
        <v>173</v>
      </c>
    </row>
    <row r="169" spans="1:19" x14ac:dyDescent="0.35">
      <c r="A169" s="66" t="s">
        <v>297</v>
      </c>
      <c r="B169" s="67">
        <v>18</v>
      </c>
      <c r="C169" s="66"/>
      <c r="D169" s="66">
        <f t="shared" ref="D169:R169" si="40">SUM(D165:D168)</f>
        <v>97</v>
      </c>
      <c r="E169" s="66">
        <f t="shared" si="40"/>
        <v>9</v>
      </c>
      <c r="F169" s="66">
        <f t="shared" si="40"/>
        <v>4</v>
      </c>
      <c r="G169" s="66">
        <f t="shared" si="40"/>
        <v>0</v>
      </c>
      <c r="H169" s="61">
        <f t="shared" si="40"/>
        <v>110</v>
      </c>
      <c r="I169" s="66">
        <f t="shared" si="40"/>
        <v>78</v>
      </c>
      <c r="J169" s="66">
        <f t="shared" si="40"/>
        <v>8</v>
      </c>
      <c r="K169" s="66">
        <f t="shared" si="40"/>
        <v>1</v>
      </c>
      <c r="L169" s="66">
        <f t="shared" si="40"/>
        <v>0</v>
      </c>
      <c r="M169" s="61">
        <f t="shared" si="40"/>
        <v>87</v>
      </c>
      <c r="N169" s="66">
        <f t="shared" si="40"/>
        <v>421</v>
      </c>
      <c r="O169" s="66">
        <f t="shared" si="40"/>
        <v>32</v>
      </c>
      <c r="P169" s="66">
        <f t="shared" si="40"/>
        <v>46</v>
      </c>
      <c r="Q169" s="66">
        <f t="shared" si="40"/>
        <v>0</v>
      </c>
      <c r="R169" s="61">
        <f t="shared" si="40"/>
        <v>499</v>
      </c>
      <c r="S169" s="68">
        <f t="shared" si="32"/>
        <v>696</v>
      </c>
    </row>
    <row r="170" spans="1:19" hidden="1" x14ac:dyDescent="0.35">
      <c r="A170" s="59" t="s">
        <v>299</v>
      </c>
      <c r="B170" s="54">
        <v>11</v>
      </c>
      <c r="C170" s="60" t="s">
        <v>225</v>
      </c>
      <c r="D170" s="60">
        <v>3</v>
      </c>
      <c r="E170" s="60"/>
      <c r="F170" s="60"/>
      <c r="G170" s="60"/>
      <c r="H170" s="61">
        <f>SUM(D170:G170)</f>
        <v>3</v>
      </c>
      <c r="I170" s="60">
        <v>2</v>
      </c>
      <c r="J170" s="60"/>
      <c r="K170" s="60"/>
      <c r="L170" s="60"/>
      <c r="M170" s="61">
        <f>SUM(I170:L170)</f>
        <v>2</v>
      </c>
      <c r="N170" s="60">
        <v>9</v>
      </c>
      <c r="O170" s="60"/>
      <c r="P170" s="60"/>
      <c r="Q170" s="60"/>
      <c r="R170" s="61">
        <f>SUM(N170:Q170)</f>
        <v>9</v>
      </c>
      <c r="S170" s="68">
        <f t="shared" si="32"/>
        <v>14</v>
      </c>
    </row>
    <row r="171" spans="1:19" hidden="1" x14ac:dyDescent="0.35">
      <c r="A171" s="111" t="s">
        <v>300</v>
      </c>
      <c r="B171" s="54"/>
      <c r="C171" s="63" t="s">
        <v>227</v>
      </c>
      <c r="D171" s="63">
        <v>0</v>
      </c>
      <c r="E171" s="63"/>
      <c r="F171" s="63"/>
      <c r="G171" s="63"/>
      <c r="H171" s="61">
        <f>SUM(D171:G171)</f>
        <v>0</v>
      </c>
      <c r="I171" s="63">
        <v>3</v>
      </c>
      <c r="J171" s="63"/>
      <c r="K171" s="63"/>
      <c r="L171" s="63"/>
      <c r="M171" s="61">
        <f>SUM(I171:L171)</f>
        <v>3</v>
      </c>
      <c r="N171" s="63">
        <v>10</v>
      </c>
      <c r="O171" s="63"/>
      <c r="P171" s="63"/>
      <c r="Q171" s="63"/>
      <c r="R171" s="61">
        <f>SUM(N171:Q171)</f>
        <v>10</v>
      </c>
      <c r="S171" s="68">
        <f t="shared" si="32"/>
        <v>13</v>
      </c>
    </row>
    <row r="172" spans="1:19" hidden="1" x14ac:dyDescent="0.35">
      <c r="A172" s="111"/>
      <c r="B172" s="54"/>
      <c r="C172" s="60" t="s">
        <v>228</v>
      </c>
      <c r="D172" s="60">
        <v>5</v>
      </c>
      <c r="E172" s="60"/>
      <c r="F172" s="60"/>
      <c r="G172" s="60"/>
      <c r="H172" s="61">
        <f>SUM(D172:G172)</f>
        <v>5</v>
      </c>
      <c r="I172" s="60">
        <v>2</v>
      </c>
      <c r="J172" s="60"/>
      <c r="K172" s="60"/>
      <c r="L172" s="60"/>
      <c r="M172" s="61">
        <f>SUM(I172:L172)</f>
        <v>2</v>
      </c>
      <c r="N172" s="60">
        <v>7</v>
      </c>
      <c r="O172" s="60"/>
      <c r="P172" s="60"/>
      <c r="Q172" s="60"/>
      <c r="R172" s="61">
        <f>SUM(N172:Q172)</f>
        <v>7</v>
      </c>
      <c r="S172" s="68">
        <f t="shared" si="32"/>
        <v>14</v>
      </c>
    </row>
    <row r="173" spans="1:19" hidden="1" x14ac:dyDescent="0.35">
      <c r="A173" s="111"/>
      <c r="B173" s="54"/>
      <c r="C173" s="63" t="s">
        <v>235</v>
      </c>
      <c r="D173" s="63">
        <v>1</v>
      </c>
      <c r="E173" s="63"/>
      <c r="F173" s="63"/>
      <c r="G173" s="63"/>
      <c r="H173" s="61">
        <f>SUM(D173:G173)</f>
        <v>1</v>
      </c>
      <c r="I173" s="63">
        <v>6</v>
      </c>
      <c r="J173" s="63"/>
      <c r="K173" s="63"/>
      <c r="L173" s="63"/>
      <c r="M173" s="61">
        <f>SUM(I173:L173)</f>
        <v>6</v>
      </c>
      <c r="N173" s="63">
        <v>12</v>
      </c>
      <c r="O173" s="63"/>
      <c r="P173" s="63"/>
      <c r="Q173" s="63"/>
      <c r="R173" s="61">
        <f>SUM(N173:Q173)</f>
        <v>12</v>
      </c>
      <c r="S173" s="68">
        <f t="shared" si="32"/>
        <v>19</v>
      </c>
    </row>
    <row r="174" spans="1:19" x14ac:dyDescent="0.35">
      <c r="A174" s="66" t="s">
        <v>299</v>
      </c>
      <c r="B174" s="67">
        <v>11</v>
      </c>
      <c r="C174" s="66"/>
      <c r="D174" s="66">
        <f t="shared" ref="D174:R174" si="41">SUM(D170:D173)</f>
        <v>9</v>
      </c>
      <c r="E174" s="66">
        <f t="shared" si="41"/>
        <v>0</v>
      </c>
      <c r="F174" s="66">
        <f t="shared" si="41"/>
        <v>0</v>
      </c>
      <c r="G174" s="66">
        <f t="shared" si="41"/>
        <v>0</v>
      </c>
      <c r="H174" s="61">
        <f t="shared" si="41"/>
        <v>9</v>
      </c>
      <c r="I174" s="66">
        <f t="shared" si="41"/>
        <v>13</v>
      </c>
      <c r="J174" s="66">
        <f t="shared" si="41"/>
        <v>0</v>
      </c>
      <c r="K174" s="66">
        <f t="shared" si="41"/>
        <v>0</v>
      </c>
      <c r="L174" s="66">
        <f t="shared" si="41"/>
        <v>0</v>
      </c>
      <c r="M174" s="61">
        <f t="shared" si="41"/>
        <v>13</v>
      </c>
      <c r="N174" s="66">
        <f t="shared" si="41"/>
        <v>38</v>
      </c>
      <c r="O174" s="66">
        <f t="shared" si="41"/>
        <v>0</v>
      </c>
      <c r="P174" s="66">
        <f t="shared" si="41"/>
        <v>0</v>
      </c>
      <c r="Q174" s="66">
        <f t="shared" si="41"/>
        <v>0</v>
      </c>
      <c r="R174" s="61">
        <f t="shared" si="41"/>
        <v>38</v>
      </c>
      <c r="S174" s="68">
        <f t="shared" si="32"/>
        <v>60</v>
      </c>
    </row>
    <row r="175" spans="1:19" hidden="1" x14ac:dyDescent="0.35">
      <c r="A175" s="59" t="s">
        <v>301</v>
      </c>
      <c r="B175" s="54">
        <v>30</v>
      </c>
      <c r="C175" s="60" t="s">
        <v>225</v>
      </c>
      <c r="D175" s="60"/>
      <c r="E175" s="60"/>
      <c r="F175" s="60"/>
      <c r="G175" s="60"/>
      <c r="H175" s="61">
        <f>SUM(D175:G175)</f>
        <v>0</v>
      </c>
      <c r="I175" s="60"/>
      <c r="J175" s="60"/>
      <c r="K175" s="60"/>
      <c r="L175" s="60"/>
      <c r="M175" s="61">
        <f>SUM(I175:L175)</f>
        <v>0</v>
      </c>
      <c r="N175" s="60">
        <v>9</v>
      </c>
      <c r="O175" s="60"/>
      <c r="P175" s="60"/>
      <c r="Q175" s="60"/>
      <c r="R175" s="61">
        <f>SUM(N175:Q175)</f>
        <v>9</v>
      </c>
      <c r="S175" s="68">
        <f t="shared" si="32"/>
        <v>9</v>
      </c>
    </row>
    <row r="176" spans="1:19" hidden="1" x14ac:dyDescent="0.35">
      <c r="A176" s="111" t="s">
        <v>263</v>
      </c>
      <c r="B176" s="54"/>
      <c r="C176" s="63" t="s">
        <v>227</v>
      </c>
      <c r="D176" s="63">
        <v>1</v>
      </c>
      <c r="E176" s="63"/>
      <c r="F176" s="63"/>
      <c r="G176" s="63"/>
      <c r="H176" s="61">
        <f>SUM(D176:G176)</f>
        <v>1</v>
      </c>
      <c r="I176" s="63"/>
      <c r="J176" s="63"/>
      <c r="K176" s="63"/>
      <c r="L176" s="63"/>
      <c r="M176" s="61">
        <f>SUM(I176:L176)</f>
        <v>0</v>
      </c>
      <c r="N176" s="63">
        <v>13</v>
      </c>
      <c r="O176" s="63"/>
      <c r="P176" s="63"/>
      <c r="Q176" s="63"/>
      <c r="R176" s="61">
        <f>SUM(N176:Q176)</f>
        <v>13</v>
      </c>
      <c r="S176" s="68">
        <f t="shared" si="32"/>
        <v>14</v>
      </c>
    </row>
    <row r="177" spans="1:19" hidden="1" x14ac:dyDescent="0.35">
      <c r="A177" s="111"/>
      <c r="B177" s="54"/>
      <c r="C177" s="60" t="s">
        <v>228</v>
      </c>
      <c r="D177" s="60">
        <v>4</v>
      </c>
      <c r="E177" s="60"/>
      <c r="F177" s="60"/>
      <c r="G177" s="60"/>
      <c r="H177" s="61">
        <f>SUM(D177:G177)</f>
        <v>4</v>
      </c>
      <c r="I177" s="60">
        <v>2</v>
      </c>
      <c r="J177" s="60"/>
      <c r="K177" s="60"/>
      <c r="L177" s="60"/>
      <c r="M177" s="61">
        <f>SUM(I177:L177)</f>
        <v>2</v>
      </c>
      <c r="N177" s="60">
        <v>10</v>
      </c>
      <c r="O177" s="60"/>
      <c r="P177" s="60"/>
      <c r="Q177" s="60"/>
      <c r="R177" s="61">
        <f>SUM(N177:Q177)</f>
        <v>10</v>
      </c>
      <c r="S177" s="68">
        <f t="shared" si="32"/>
        <v>16</v>
      </c>
    </row>
    <row r="178" spans="1:19" hidden="1" x14ac:dyDescent="0.35">
      <c r="A178" s="111"/>
      <c r="B178" s="54"/>
      <c r="C178" s="63" t="s">
        <v>235</v>
      </c>
      <c r="D178" s="63">
        <v>3</v>
      </c>
      <c r="E178" s="63"/>
      <c r="F178" s="63"/>
      <c r="G178" s="63"/>
      <c r="H178" s="61">
        <f>SUM(D178:G178)</f>
        <v>3</v>
      </c>
      <c r="I178" s="63">
        <v>4</v>
      </c>
      <c r="J178" s="63"/>
      <c r="K178" s="63"/>
      <c r="L178" s="63"/>
      <c r="M178" s="61">
        <f>SUM(I178:L178)</f>
        <v>4</v>
      </c>
      <c r="N178" s="63">
        <v>7</v>
      </c>
      <c r="O178" s="63"/>
      <c r="P178" s="63"/>
      <c r="Q178" s="63"/>
      <c r="R178" s="61">
        <f>SUM(N178:Q178)</f>
        <v>7</v>
      </c>
      <c r="S178" s="68">
        <f t="shared" si="32"/>
        <v>14</v>
      </c>
    </row>
    <row r="179" spans="1:19" x14ac:dyDescent="0.35">
      <c r="A179" s="66" t="s">
        <v>301</v>
      </c>
      <c r="B179" s="67">
        <v>30</v>
      </c>
      <c r="C179" s="66"/>
      <c r="D179" s="66">
        <f t="shared" ref="D179:R179" si="42">SUM(D175:D178)</f>
        <v>8</v>
      </c>
      <c r="E179" s="66">
        <f t="shared" si="42"/>
        <v>0</v>
      </c>
      <c r="F179" s="66">
        <f t="shared" si="42"/>
        <v>0</v>
      </c>
      <c r="G179" s="66">
        <f t="shared" si="42"/>
        <v>0</v>
      </c>
      <c r="H179" s="61">
        <f t="shared" si="42"/>
        <v>8</v>
      </c>
      <c r="I179" s="66">
        <f t="shared" si="42"/>
        <v>6</v>
      </c>
      <c r="J179" s="66">
        <f t="shared" si="42"/>
        <v>0</v>
      </c>
      <c r="K179" s="66">
        <f t="shared" si="42"/>
        <v>0</v>
      </c>
      <c r="L179" s="66">
        <f t="shared" si="42"/>
        <v>0</v>
      </c>
      <c r="M179" s="61">
        <f t="shared" si="42"/>
        <v>6</v>
      </c>
      <c r="N179" s="66">
        <f t="shared" si="42"/>
        <v>39</v>
      </c>
      <c r="O179" s="66">
        <f t="shared" si="42"/>
        <v>0</v>
      </c>
      <c r="P179" s="66">
        <f t="shared" si="42"/>
        <v>0</v>
      </c>
      <c r="Q179" s="66">
        <f t="shared" si="42"/>
        <v>0</v>
      </c>
      <c r="R179" s="61">
        <f t="shared" si="42"/>
        <v>39</v>
      </c>
      <c r="S179" s="68">
        <f t="shared" si="32"/>
        <v>53</v>
      </c>
    </row>
    <row r="180" spans="1:19" hidden="1" x14ac:dyDescent="0.35">
      <c r="A180" s="59" t="s">
        <v>302</v>
      </c>
      <c r="B180" s="54" t="s">
        <v>303</v>
      </c>
      <c r="C180" s="60" t="s">
        <v>225</v>
      </c>
      <c r="D180" s="60">
        <v>1</v>
      </c>
      <c r="E180" s="60"/>
      <c r="F180" s="60"/>
      <c r="G180" s="60"/>
      <c r="H180" s="61">
        <f>SUM(D180:G180)</f>
        <v>1</v>
      </c>
      <c r="I180" s="60"/>
      <c r="J180" s="60"/>
      <c r="K180" s="60"/>
      <c r="L180" s="60"/>
      <c r="M180" s="61">
        <f>SUM(I180:L180)</f>
        <v>0</v>
      </c>
      <c r="N180" s="60">
        <v>17</v>
      </c>
      <c r="O180" s="60"/>
      <c r="P180" s="60"/>
      <c r="Q180" s="60"/>
      <c r="R180" s="61">
        <f>SUM(N180:Q180)</f>
        <v>17</v>
      </c>
      <c r="S180" s="68">
        <f t="shared" si="32"/>
        <v>18</v>
      </c>
    </row>
    <row r="181" spans="1:19" hidden="1" x14ac:dyDescent="0.35">
      <c r="A181" s="111" t="s">
        <v>304</v>
      </c>
      <c r="B181" s="54"/>
      <c r="C181" s="63" t="s">
        <v>227</v>
      </c>
      <c r="D181" s="63">
        <v>4</v>
      </c>
      <c r="E181" s="63"/>
      <c r="F181" s="63"/>
      <c r="G181" s="63"/>
      <c r="H181" s="61">
        <f>SUM(D181:G181)</f>
        <v>4</v>
      </c>
      <c r="I181" s="63">
        <v>4</v>
      </c>
      <c r="J181" s="63"/>
      <c r="K181" s="63"/>
      <c r="L181" s="63"/>
      <c r="M181" s="61">
        <f>SUM(I181:L181)</f>
        <v>4</v>
      </c>
      <c r="N181" s="63">
        <v>16</v>
      </c>
      <c r="O181" s="63"/>
      <c r="P181" s="63"/>
      <c r="Q181" s="63"/>
      <c r="R181" s="61">
        <f>SUM(N181:Q181)</f>
        <v>16</v>
      </c>
      <c r="S181" s="68">
        <f t="shared" si="32"/>
        <v>24</v>
      </c>
    </row>
    <row r="182" spans="1:19" hidden="1" x14ac:dyDescent="0.35">
      <c r="A182" s="111"/>
      <c r="B182" s="54"/>
      <c r="C182" s="60" t="s">
        <v>228</v>
      </c>
      <c r="D182" s="60">
        <v>4</v>
      </c>
      <c r="E182" s="60"/>
      <c r="F182" s="60"/>
      <c r="G182" s="60"/>
      <c r="H182" s="61">
        <f>SUM(D182:G182)</f>
        <v>4</v>
      </c>
      <c r="I182" s="60">
        <v>7</v>
      </c>
      <c r="J182" s="60"/>
      <c r="K182" s="60"/>
      <c r="L182" s="60"/>
      <c r="M182" s="61">
        <f>SUM(I182:L182)</f>
        <v>7</v>
      </c>
      <c r="N182" s="60">
        <v>17</v>
      </c>
      <c r="O182" s="60"/>
      <c r="P182" s="60"/>
      <c r="Q182" s="60"/>
      <c r="R182" s="61">
        <f>SUM(N182:Q182)</f>
        <v>17</v>
      </c>
      <c r="S182" s="68">
        <f t="shared" si="32"/>
        <v>28</v>
      </c>
    </row>
    <row r="183" spans="1:19" hidden="1" x14ac:dyDescent="0.35">
      <c r="A183" s="111"/>
      <c r="B183" s="54"/>
      <c r="C183" s="63" t="s">
        <v>235</v>
      </c>
      <c r="D183" s="63">
        <v>1</v>
      </c>
      <c r="E183" s="63"/>
      <c r="F183" s="63"/>
      <c r="G183" s="63"/>
      <c r="H183" s="61">
        <f>SUM(D183:G183)</f>
        <v>1</v>
      </c>
      <c r="I183" s="63">
        <v>7</v>
      </c>
      <c r="J183" s="63"/>
      <c r="K183" s="63"/>
      <c r="L183" s="63"/>
      <c r="M183" s="61">
        <f>SUM(I183:L183)</f>
        <v>7</v>
      </c>
      <c r="N183" s="63">
        <v>23</v>
      </c>
      <c r="O183" s="63"/>
      <c r="P183" s="63"/>
      <c r="Q183" s="63"/>
      <c r="R183" s="61">
        <f>SUM(N183:Q183)</f>
        <v>23</v>
      </c>
      <c r="S183" s="68">
        <f t="shared" si="32"/>
        <v>31</v>
      </c>
    </row>
    <row r="184" spans="1:19" x14ac:dyDescent="0.35">
      <c r="A184" s="66" t="s">
        <v>302</v>
      </c>
      <c r="B184" s="67" t="s">
        <v>303</v>
      </c>
      <c r="C184" s="66"/>
      <c r="D184" s="66">
        <f t="shared" ref="D184:R184" si="43">SUM(D180:D183)</f>
        <v>10</v>
      </c>
      <c r="E184" s="66">
        <f t="shared" si="43"/>
        <v>0</v>
      </c>
      <c r="F184" s="66">
        <f t="shared" si="43"/>
        <v>0</v>
      </c>
      <c r="G184" s="66">
        <f t="shared" si="43"/>
        <v>0</v>
      </c>
      <c r="H184" s="61">
        <f t="shared" si="43"/>
        <v>10</v>
      </c>
      <c r="I184" s="66">
        <f t="shared" si="43"/>
        <v>18</v>
      </c>
      <c r="J184" s="66">
        <f t="shared" si="43"/>
        <v>0</v>
      </c>
      <c r="K184" s="66">
        <f t="shared" si="43"/>
        <v>0</v>
      </c>
      <c r="L184" s="66">
        <f t="shared" si="43"/>
        <v>0</v>
      </c>
      <c r="M184" s="61">
        <f t="shared" si="43"/>
        <v>18</v>
      </c>
      <c r="N184" s="66">
        <f t="shared" si="43"/>
        <v>73</v>
      </c>
      <c r="O184" s="66">
        <f t="shared" si="43"/>
        <v>0</v>
      </c>
      <c r="P184" s="66">
        <f t="shared" si="43"/>
        <v>0</v>
      </c>
      <c r="Q184" s="66">
        <f t="shared" si="43"/>
        <v>0</v>
      </c>
      <c r="R184" s="61">
        <f t="shared" si="43"/>
        <v>73</v>
      </c>
      <c r="S184" s="68">
        <f t="shared" si="32"/>
        <v>101</v>
      </c>
    </row>
    <row r="185" spans="1:19" hidden="1" x14ac:dyDescent="0.35">
      <c r="A185" s="59" t="s">
        <v>305</v>
      </c>
      <c r="B185" s="54" t="s">
        <v>233</v>
      </c>
      <c r="C185" s="60" t="s">
        <v>225</v>
      </c>
      <c r="D185" s="60"/>
      <c r="E185" s="60"/>
      <c r="F185" s="60"/>
      <c r="G185" s="60"/>
      <c r="H185" s="61">
        <f>SUM(D185:G185)</f>
        <v>0</v>
      </c>
      <c r="I185" s="60"/>
      <c r="J185" s="60"/>
      <c r="K185" s="60"/>
      <c r="L185" s="60"/>
      <c r="M185" s="61">
        <f>SUM(I185:L185)</f>
        <v>0</v>
      </c>
      <c r="N185" s="60"/>
      <c r="O185" s="60"/>
      <c r="P185" s="60"/>
      <c r="Q185" s="60"/>
      <c r="R185" s="61">
        <f>SUM(N185:Q185)</f>
        <v>0</v>
      </c>
      <c r="S185" s="68">
        <f t="shared" si="32"/>
        <v>0</v>
      </c>
    </row>
    <row r="186" spans="1:19" hidden="1" x14ac:dyDescent="0.35">
      <c r="A186" s="111" t="s">
        <v>234</v>
      </c>
      <c r="B186" s="54"/>
      <c r="C186" s="63" t="s">
        <v>227</v>
      </c>
      <c r="D186" s="63"/>
      <c r="E186" s="63"/>
      <c r="F186" s="63"/>
      <c r="G186" s="63"/>
      <c r="H186" s="61">
        <f>SUM(D186:G186)</f>
        <v>0</v>
      </c>
      <c r="I186" s="63"/>
      <c r="J186" s="63"/>
      <c r="K186" s="63"/>
      <c r="L186" s="63"/>
      <c r="M186" s="61">
        <f>SUM(I186:L186)</f>
        <v>0</v>
      </c>
      <c r="N186" s="63"/>
      <c r="O186" s="63"/>
      <c r="P186" s="63"/>
      <c r="Q186" s="63"/>
      <c r="R186" s="61">
        <f>SUM(N186:Q186)</f>
        <v>0</v>
      </c>
      <c r="S186" s="68">
        <f t="shared" si="32"/>
        <v>0</v>
      </c>
    </row>
    <row r="187" spans="1:19" hidden="1" x14ac:dyDescent="0.35">
      <c r="A187" s="111"/>
      <c r="B187" s="54"/>
      <c r="C187" s="60" t="s">
        <v>228</v>
      </c>
      <c r="D187" s="60"/>
      <c r="E187" s="60"/>
      <c r="F187" s="60"/>
      <c r="G187" s="60"/>
      <c r="H187" s="61">
        <f>SUM(D187:G187)</f>
        <v>0</v>
      </c>
      <c r="I187" s="60"/>
      <c r="J187" s="60"/>
      <c r="K187" s="60"/>
      <c r="L187" s="60"/>
      <c r="M187" s="61">
        <f>SUM(I187:L187)</f>
        <v>0</v>
      </c>
      <c r="N187" s="60"/>
      <c r="O187" s="60"/>
      <c r="P187" s="60"/>
      <c r="Q187" s="60"/>
      <c r="R187" s="61">
        <f>SUM(N187:Q187)</f>
        <v>0</v>
      </c>
      <c r="S187" s="68">
        <f t="shared" si="32"/>
        <v>0</v>
      </c>
    </row>
    <row r="188" spans="1:19" hidden="1" x14ac:dyDescent="0.35">
      <c r="A188" s="111"/>
      <c r="B188" s="54"/>
      <c r="C188" s="63" t="s">
        <v>235</v>
      </c>
      <c r="D188" s="63"/>
      <c r="E188" s="63"/>
      <c r="F188" s="63"/>
      <c r="G188" s="63"/>
      <c r="H188" s="61">
        <f>SUM(D188:G188)</f>
        <v>0</v>
      </c>
      <c r="I188" s="63"/>
      <c r="J188" s="63"/>
      <c r="K188" s="63"/>
      <c r="L188" s="63"/>
      <c r="M188" s="61">
        <f>SUM(I188:L188)</f>
        <v>0</v>
      </c>
      <c r="N188" s="63"/>
      <c r="O188" s="63"/>
      <c r="P188" s="63"/>
      <c r="Q188" s="63"/>
      <c r="R188" s="61">
        <f>SUM(N188:Q188)</f>
        <v>0</v>
      </c>
      <c r="S188" s="68">
        <f t="shared" si="32"/>
        <v>0</v>
      </c>
    </row>
    <row r="189" spans="1:19" x14ac:dyDescent="0.35">
      <c r="A189" s="66" t="s">
        <v>305</v>
      </c>
      <c r="B189" s="67" t="s">
        <v>233</v>
      </c>
      <c r="C189" s="66"/>
      <c r="D189" s="66">
        <f t="shared" ref="D189:R189" si="44">SUM(D185:D188)</f>
        <v>0</v>
      </c>
      <c r="E189" s="66">
        <f t="shared" si="44"/>
        <v>0</v>
      </c>
      <c r="F189" s="66">
        <f t="shared" si="44"/>
        <v>0</v>
      </c>
      <c r="G189" s="66">
        <f t="shared" si="44"/>
        <v>0</v>
      </c>
      <c r="H189" s="61">
        <f t="shared" si="44"/>
        <v>0</v>
      </c>
      <c r="I189" s="66">
        <f t="shared" si="44"/>
        <v>0</v>
      </c>
      <c r="J189" s="66">
        <f t="shared" si="44"/>
        <v>0</v>
      </c>
      <c r="K189" s="66">
        <f t="shared" si="44"/>
        <v>0</v>
      </c>
      <c r="L189" s="66">
        <f t="shared" si="44"/>
        <v>0</v>
      </c>
      <c r="M189" s="61">
        <f t="shared" si="44"/>
        <v>0</v>
      </c>
      <c r="N189" s="66">
        <f t="shared" si="44"/>
        <v>0</v>
      </c>
      <c r="O189" s="66">
        <f t="shared" si="44"/>
        <v>0</v>
      </c>
      <c r="P189" s="66">
        <f t="shared" si="44"/>
        <v>0</v>
      </c>
      <c r="Q189" s="66">
        <f t="shared" si="44"/>
        <v>0</v>
      </c>
      <c r="R189" s="61">
        <f t="shared" si="44"/>
        <v>0</v>
      </c>
      <c r="S189" s="68">
        <f t="shared" si="32"/>
        <v>0</v>
      </c>
    </row>
    <row r="190" spans="1:19" hidden="1" x14ac:dyDescent="0.35">
      <c r="A190" s="59" t="s">
        <v>306</v>
      </c>
      <c r="B190" s="54" t="s">
        <v>307</v>
      </c>
      <c r="C190" s="60" t="s">
        <v>225</v>
      </c>
      <c r="D190" s="60">
        <v>7</v>
      </c>
      <c r="E190" s="60"/>
      <c r="F190" s="60"/>
      <c r="G190" s="60"/>
      <c r="H190" s="61">
        <f>SUM(D190:G190)</f>
        <v>7</v>
      </c>
      <c r="I190" s="60">
        <v>2</v>
      </c>
      <c r="J190" s="60"/>
      <c r="K190" s="60"/>
      <c r="L190" s="60"/>
      <c r="M190" s="61">
        <f>SUM(I190:L190)</f>
        <v>2</v>
      </c>
      <c r="N190" s="60">
        <v>24</v>
      </c>
      <c r="O190" s="60"/>
      <c r="P190" s="60"/>
      <c r="Q190" s="60"/>
      <c r="R190" s="61">
        <f>SUM(N190:Q190)</f>
        <v>24</v>
      </c>
      <c r="S190" s="68">
        <f t="shared" si="32"/>
        <v>33</v>
      </c>
    </row>
    <row r="191" spans="1:19" hidden="1" x14ac:dyDescent="0.35">
      <c r="A191" s="111" t="s">
        <v>245</v>
      </c>
      <c r="B191" s="54"/>
      <c r="C191" s="63" t="s">
        <v>227</v>
      </c>
      <c r="D191" s="63">
        <v>7</v>
      </c>
      <c r="E191" s="63"/>
      <c r="F191" s="63"/>
      <c r="G191" s="63"/>
      <c r="H191" s="61">
        <f>SUM(D191:G191)</f>
        <v>7</v>
      </c>
      <c r="I191" s="63">
        <v>2</v>
      </c>
      <c r="J191" s="63"/>
      <c r="K191" s="63"/>
      <c r="L191" s="63"/>
      <c r="M191" s="61">
        <f>SUM(I191:L191)</f>
        <v>2</v>
      </c>
      <c r="N191" s="63">
        <v>22</v>
      </c>
      <c r="O191" s="63"/>
      <c r="P191" s="63"/>
      <c r="Q191" s="63"/>
      <c r="R191" s="61">
        <f>SUM(N191:Q191)</f>
        <v>22</v>
      </c>
      <c r="S191" s="68">
        <f t="shared" si="32"/>
        <v>31</v>
      </c>
    </row>
    <row r="192" spans="1:19" hidden="1" x14ac:dyDescent="0.35">
      <c r="A192" s="111"/>
      <c r="B192" s="54"/>
      <c r="C192" s="60" t="s">
        <v>228</v>
      </c>
      <c r="D192" s="60">
        <v>6</v>
      </c>
      <c r="E192" s="60"/>
      <c r="F192" s="60"/>
      <c r="G192" s="60"/>
      <c r="H192" s="61">
        <f>SUM(D192:G192)</f>
        <v>6</v>
      </c>
      <c r="I192" s="60">
        <v>1</v>
      </c>
      <c r="J192" s="60"/>
      <c r="K192" s="60"/>
      <c r="L192" s="60"/>
      <c r="M192" s="61">
        <f>SUM(I192:L192)</f>
        <v>1</v>
      </c>
      <c r="N192" s="60">
        <v>24</v>
      </c>
      <c r="O192" s="60"/>
      <c r="P192" s="60"/>
      <c r="Q192" s="60"/>
      <c r="R192" s="61">
        <f>SUM(N192:Q192)</f>
        <v>24</v>
      </c>
      <c r="S192" s="68">
        <f t="shared" si="32"/>
        <v>31</v>
      </c>
    </row>
    <row r="193" spans="1:19" hidden="1" x14ac:dyDescent="0.35">
      <c r="A193" s="111"/>
      <c r="B193" s="54"/>
      <c r="C193" s="63" t="s">
        <v>235</v>
      </c>
      <c r="D193" s="63">
        <v>6</v>
      </c>
      <c r="E193" s="63"/>
      <c r="F193" s="63"/>
      <c r="G193" s="63"/>
      <c r="H193" s="61">
        <f>SUM(D193:G193)</f>
        <v>6</v>
      </c>
      <c r="I193" s="63">
        <v>1</v>
      </c>
      <c r="J193" s="63"/>
      <c r="K193" s="63"/>
      <c r="L193" s="63"/>
      <c r="M193" s="61">
        <f>SUM(I193:L193)</f>
        <v>1</v>
      </c>
      <c r="N193" s="63">
        <v>22</v>
      </c>
      <c r="O193" s="63"/>
      <c r="P193" s="63"/>
      <c r="Q193" s="63"/>
      <c r="R193" s="61">
        <f>SUM(N193:Q193)</f>
        <v>22</v>
      </c>
      <c r="S193" s="68">
        <f t="shared" si="32"/>
        <v>29</v>
      </c>
    </row>
    <row r="194" spans="1:19" hidden="1" x14ac:dyDescent="0.35">
      <c r="A194" s="66" t="s">
        <v>306</v>
      </c>
      <c r="B194" s="67" t="s">
        <v>307</v>
      </c>
      <c r="C194" s="66"/>
      <c r="D194" s="66">
        <f t="shared" ref="D194:R194" si="45">SUM(D190:D193)</f>
        <v>26</v>
      </c>
      <c r="E194" s="66">
        <f t="shared" si="45"/>
        <v>0</v>
      </c>
      <c r="F194" s="66">
        <f t="shared" si="45"/>
        <v>0</v>
      </c>
      <c r="G194" s="66">
        <f t="shared" si="45"/>
        <v>0</v>
      </c>
      <c r="H194" s="61">
        <f t="shared" si="45"/>
        <v>26</v>
      </c>
      <c r="I194" s="66">
        <f t="shared" si="45"/>
        <v>6</v>
      </c>
      <c r="J194" s="66">
        <f t="shared" si="45"/>
        <v>0</v>
      </c>
      <c r="K194" s="66">
        <f t="shared" si="45"/>
        <v>0</v>
      </c>
      <c r="L194" s="66">
        <f t="shared" si="45"/>
        <v>0</v>
      </c>
      <c r="M194" s="61">
        <f t="shared" si="45"/>
        <v>6</v>
      </c>
      <c r="N194" s="66">
        <f t="shared" si="45"/>
        <v>92</v>
      </c>
      <c r="O194" s="66">
        <f t="shared" si="45"/>
        <v>0</v>
      </c>
      <c r="P194" s="66">
        <f t="shared" si="45"/>
        <v>0</v>
      </c>
      <c r="Q194" s="66">
        <f t="shared" si="45"/>
        <v>0</v>
      </c>
      <c r="R194" s="61">
        <f t="shared" si="45"/>
        <v>92</v>
      </c>
      <c r="S194" s="68">
        <f t="shared" si="32"/>
        <v>124</v>
      </c>
    </row>
    <row r="195" spans="1:19" hidden="1" x14ac:dyDescent="0.35">
      <c r="A195" s="111" t="s">
        <v>397</v>
      </c>
      <c r="B195" s="54"/>
      <c r="C195" s="60" t="s">
        <v>225</v>
      </c>
      <c r="D195" s="60"/>
      <c r="E195" s="60"/>
      <c r="F195" s="60"/>
      <c r="G195" s="60"/>
      <c r="H195" s="61">
        <f>SUM(D195:G195)</f>
        <v>0</v>
      </c>
      <c r="I195" s="60"/>
      <c r="J195" s="60"/>
      <c r="K195" s="60"/>
      <c r="L195" s="60"/>
      <c r="M195" s="61">
        <f>SUM(I195:L195)</f>
        <v>0</v>
      </c>
      <c r="N195" s="60"/>
      <c r="O195" s="60"/>
      <c r="P195" s="60"/>
      <c r="Q195" s="60"/>
      <c r="R195" s="61">
        <f>SUM(N195:Q195)</f>
        <v>0</v>
      </c>
      <c r="S195" s="68">
        <f t="shared" si="32"/>
        <v>0</v>
      </c>
    </row>
    <row r="196" spans="1:19" hidden="1" x14ac:dyDescent="0.35">
      <c r="A196" s="111"/>
      <c r="B196" s="54"/>
      <c r="C196" s="63" t="s">
        <v>227</v>
      </c>
      <c r="D196" s="63"/>
      <c r="E196" s="63"/>
      <c r="F196" s="63"/>
      <c r="G196" s="63"/>
      <c r="H196" s="61">
        <f>SUM(D196:G196)</f>
        <v>0</v>
      </c>
      <c r="I196" s="63"/>
      <c r="J196" s="63"/>
      <c r="K196" s="63"/>
      <c r="L196" s="63"/>
      <c r="M196" s="61">
        <f>SUM(I196:L196)</f>
        <v>0</v>
      </c>
      <c r="N196" s="63"/>
      <c r="O196" s="63"/>
      <c r="P196" s="63"/>
      <c r="Q196" s="63"/>
      <c r="R196" s="61">
        <f>SUM(N196:Q196)</f>
        <v>0</v>
      </c>
      <c r="S196" s="68">
        <f t="shared" si="32"/>
        <v>0</v>
      </c>
    </row>
    <row r="197" spans="1:19" hidden="1" x14ac:dyDescent="0.35">
      <c r="A197" s="111"/>
      <c r="B197" s="54"/>
      <c r="C197" s="60" t="s">
        <v>228</v>
      </c>
      <c r="D197" s="60"/>
      <c r="E197" s="60"/>
      <c r="F197" s="60"/>
      <c r="G197" s="60"/>
      <c r="H197" s="61">
        <f>SUM(D197:G197)</f>
        <v>0</v>
      </c>
      <c r="I197" s="60"/>
      <c r="J197" s="60"/>
      <c r="K197" s="60"/>
      <c r="L197" s="60"/>
      <c r="M197" s="61">
        <f>SUM(I197:L197)</f>
        <v>0</v>
      </c>
      <c r="N197" s="60"/>
      <c r="O197" s="60"/>
      <c r="P197" s="60"/>
      <c r="Q197" s="60"/>
      <c r="R197" s="61">
        <f>SUM(N197:Q197)</f>
        <v>0</v>
      </c>
      <c r="S197" s="68">
        <f t="shared" ref="S197:S260" si="46">SUM(H197,M197,R197)</f>
        <v>0</v>
      </c>
    </row>
    <row r="198" spans="1:19" hidden="1" x14ac:dyDescent="0.35">
      <c r="A198" s="111"/>
      <c r="B198" s="54"/>
      <c r="C198" s="63" t="s">
        <v>235</v>
      </c>
      <c r="D198" s="63"/>
      <c r="E198" s="63"/>
      <c r="F198" s="63"/>
      <c r="G198" s="63"/>
      <c r="H198" s="61">
        <f>SUM(D198:G198)</f>
        <v>0</v>
      </c>
      <c r="I198" s="63"/>
      <c r="J198" s="63"/>
      <c r="K198" s="63"/>
      <c r="L198" s="63"/>
      <c r="M198" s="61">
        <f>SUM(I198:L198)</f>
        <v>0</v>
      </c>
      <c r="N198" s="63"/>
      <c r="O198" s="63"/>
      <c r="P198" s="63"/>
      <c r="Q198" s="63"/>
      <c r="R198" s="61">
        <f>SUM(N198:Q198)</f>
        <v>0</v>
      </c>
      <c r="S198" s="68">
        <f t="shared" si="46"/>
        <v>0</v>
      </c>
    </row>
    <row r="199" spans="1:19" hidden="1" x14ac:dyDescent="0.35">
      <c r="A199" s="76" t="s">
        <v>397</v>
      </c>
      <c r="B199" s="67"/>
      <c r="C199" s="66"/>
      <c r="D199" s="66">
        <f t="shared" ref="D199:R199" si="47">SUM(D195:D198)</f>
        <v>0</v>
      </c>
      <c r="E199" s="66">
        <f t="shared" si="47"/>
        <v>0</v>
      </c>
      <c r="F199" s="66">
        <f t="shared" si="47"/>
        <v>0</v>
      </c>
      <c r="G199" s="66">
        <f t="shared" si="47"/>
        <v>0</v>
      </c>
      <c r="H199" s="61">
        <f t="shared" si="47"/>
        <v>0</v>
      </c>
      <c r="I199" s="66">
        <f t="shared" si="47"/>
        <v>0</v>
      </c>
      <c r="J199" s="66">
        <f t="shared" si="47"/>
        <v>0</v>
      </c>
      <c r="K199" s="66">
        <f t="shared" si="47"/>
        <v>0</v>
      </c>
      <c r="L199" s="66">
        <f t="shared" si="47"/>
        <v>0</v>
      </c>
      <c r="M199" s="61">
        <f t="shared" si="47"/>
        <v>0</v>
      </c>
      <c r="N199" s="66">
        <f t="shared" si="47"/>
        <v>0</v>
      </c>
      <c r="O199" s="66">
        <f t="shared" si="47"/>
        <v>0</v>
      </c>
      <c r="P199" s="66">
        <f t="shared" si="47"/>
        <v>0</v>
      </c>
      <c r="Q199" s="66">
        <f t="shared" si="47"/>
        <v>0</v>
      </c>
      <c r="R199" s="61">
        <f t="shared" si="47"/>
        <v>0</v>
      </c>
      <c r="S199" s="68">
        <f t="shared" si="46"/>
        <v>0</v>
      </c>
    </row>
    <row r="200" spans="1:19" hidden="1" x14ac:dyDescent="0.35">
      <c r="A200" s="111" t="s">
        <v>409</v>
      </c>
      <c r="B200" s="54"/>
      <c r="C200" s="60" t="s">
        <v>225</v>
      </c>
      <c r="D200" s="60"/>
      <c r="E200" s="60"/>
      <c r="F200" s="60"/>
      <c r="G200" s="60"/>
      <c r="H200" s="61">
        <f>SUM(D200:G200)</f>
        <v>0</v>
      </c>
      <c r="I200" s="60"/>
      <c r="J200" s="60"/>
      <c r="K200" s="60"/>
      <c r="L200" s="60"/>
      <c r="M200" s="61">
        <f>SUM(I200:L200)</f>
        <v>0</v>
      </c>
      <c r="N200" s="60"/>
      <c r="O200" s="60"/>
      <c r="P200" s="60"/>
      <c r="Q200" s="60"/>
      <c r="R200" s="61">
        <f>SUM(N200:Q200)</f>
        <v>0</v>
      </c>
      <c r="S200" s="68">
        <f t="shared" si="46"/>
        <v>0</v>
      </c>
    </row>
    <row r="201" spans="1:19" hidden="1" x14ac:dyDescent="0.35">
      <c r="A201" s="111"/>
      <c r="B201" s="54"/>
      <c r="C201" s="63" t="s">
        <v>227</v>
      </c>
      <c r="D201" s="63"/>
      <c r="E201" s="63"/>
      <c r="F201" s="63"/>
      <c r="G201" s="63"/>
      <c r="H201" s="61">
        <f>SUM(D201:G201)</f>
        <v>0</v>
      </c>
      <c r="I201" s="63"/>
      <c r="J201" s="63"/>
      <c r="K201" s="63"/>
      <c r="L201" s="63"/>
      <c r="M201" s="61">
        <f>SUM(I201:L201)</f>
        <v>0</v>
      </c>
      <c r="N201" s="63"/>
      <c r="O201" s="63"/>
      <c r="P201" s="63"/>
      <c r="Q201" s="63"/>
      <c r="R201" s="61">
        <f>SUM(N201:Q201)</f>
        <v>0</v>
      </c>
      <c r="S201" s="68">
        <f t="shared" si="46"/>
        <v>0</v>
      </c>
    </row>
    <row r="202" spans="1:19" hidden="1" x14ac:dyDescent="0.35">
      <c r="A202" s="111"/>
      <c r="B202" s="54"/>
      <c r="C202" s="60" t="s">
        <v>228</v>
      </c>
      <c r="D202" s="60"/>
      <c r="E202" s="60"/>
      <c r="F202" s="60"/>
      <c r="G202" s="60"/>
      <c r="H202" s="61">
        <f>SUM(D202:G202)</f>
        <v>0</v>
      </c>
      <c r="I202" s="60"/>
      <c r="J202" s="60"/>
      <c r="K202" s="60"/>
      <c r="L202" s="60"/>
      <c r="M202" s="61">
        <f>SUM(I202:L202)</f>
        <v>0</v>
      </c>
      <c r="N202" s="60"/>
      <c r="O202" s="60"/>
      <c r="P202" s="60"/>
      <c r="Q202" s="60"/>
      <c r="R202" s="61">
        <f>SUM(N202:Q202)</f>
        <v>0</v>
      </c>
      <c r="S202" s="68">
        <f t="shared" si="46"/>
        <v>0</v>
      </c>
    </row>
    <row r="203" spans="1:19" hidden="1" x14ac:dyDescent="0.35">
      <c r="A203" s="111"/>
      <c r="B203" s="54"/>
      <c r="C203" s="63" t="s">
        <v>235</v>
      </c>
      <c r="D203" s="63"/>
      <c r="E203" s="63"/>
      <c r="F203" s="63"/>
      <c r="G203" s="63"/>
      <c r="H203" s="61">
        <f>SUM(D203:G203)</f>
        <v>0</v>
      </c>
      <c r="I203" s="63"/>
      <c r="J203" s="63"/>
      <c r="K203" s="63"/>
      <c r="L203" s="63"/>
      <c r="M203" s="61">
        <f>SUM(I203:L203)</f>
        <v>0</v>
      </c>
      <c r="N203" s="63"/>
      <c r="O203" s="63"/>
      <c r="P203" s="63"/>
      <c r="Q203" s="63"/>
      <c r="R203" s="61">
        <f>SUM(N203:Q203)</f>
        <v>0</v>
      </c>
      <c r="S203" s="68">
        <f t="shared" si="46"/>
        <v>0</v>
      </c>
    </row>
    <row r="204" spans="1:19" hidden="1" x14ac:dyDescent="0.35">
      <c r="A204" s="76" t="s">
        <v>409</v>
      </c>
      <c r="B204" s="67"/>
      <c r="C204" s="66"/>
      <c r="D204" s="66">
        <f t="shared" ref="D204:R204" si="48">SUM(D200:D203)</f>
        <v>0</v>
      </c>
      <c r="E204" s="66">
        <f t="shared" si="48"/>
        <v>0</v>
      </c>
      <c r="F204" s="66">
        <f t="shared" si="48"/>
        <v>0</v>
      </c>
      <c r="G204" s="66">
        <f t="shared" si="48"/>
        <v>0</v>
      </c>
      <c r="H204" s="61">
        <f t="shared" si="48"/>
        <v>0</v>
      </c>
      <c r="I204" s="66">
        <f t="shared" si="48"/>
        <v>0</v>
      </c>
      <c r="J204" s="66">
        <f t="shared" si="48"/>
        <v>0</v>
      </c>
      <c r="K204" s="66">
        <f t="shared" si="48"/>
        <v>0</v>
      </c>
      <c r="L204" s="66">
        <f t="shared" si="48"/>
        <v>0</v>
      </c>
      <c r="M204" s="61">
        <f t="shared" si="48"/>
        <v>0</v>
      </c>
      <c r="N204" s="66">
        <f t="shared" si="48"/>
        <v>0</v>
      </c>
      <c r="O204" s="66">
        <f t="shared" si="48"/>
        <v>0</v>
      </c>
      <c r="P204" s="66">
        <f t="shared" si="48"/>
        <v>0</v>
      </c>
      <c r="Q204" s="66">
        <f t="shared" si="48"/>
        <v>0</v>
      </c>
      <c r="R204" s="61">
        <f t="shared" si="48"/>
        <v>0</v>
      </c>
      <c r="S204" s="68">
        <f t="shared" si="46"/>
        <v>0</v>
      </c>
    </row>
    <row r="205" spans="1:19" x14ac:dyDescent="0.35">
      <c r="A205" s="66" t="s">
        <v>306</v>
      </c>
      <c r="B205" s="67" t="s">
        <v>307</v>
      </c>
      <c r="C205" s="66"/>
      <c r="D205" s="66">
        <f t="shared" ref="D205:R205" si="49">SUM(D204,D199,D194)</f>
        <v>26</v>
      </c>
      <c r="E205" s="66">
        <f t="shared" si="49"/>
        <v>0</v>
      </c>
      <c r="F205" s="66">
        <f t="shared" si="49"/>
        <v>0</v>
      </c>
      <c r="G205" s="66">
        <f t="shared" si="49"/>
        <v>0</v>
      </c>
      <c r="H205" s="61">
        <f t="shared" si="49"/>
        <v>26</v>
      </c>
      <c r="I205" s="66">
        <f t="shared" si="49"/>
        <v>6</v>
      </c>
      <c r="J205" s="66">
        <f t="shared" si="49"/>
        <v>0</v>
      </c>
      <c r="K205" s="66">
        <f t="shared" si="49"/>
        <v>0</v>
      </c>
      <c r="L205" s="66">
        <f t="shared" si="49"/>
        <v>0</v>
      </c>
      <c r="M205" s="61">
        <f t="shared" si="49"/>
        <v>6</v>
      </c>
      <c r="N205" s="66">
        <f t="shared" si="49"/>
        <v>92</v>
      </c>
      <c r="O205" s="66">
        <f t="shared" si="49"/>
        <v>0</v>
      </c>
      <c r="P205" s="66">
        <f t="shared" si="49"/>
        <v>0</v>
      </c>
      <c r="Q205" s="66">
        <f t="shared" si="49"/>
        <v>0</v>
      </c>
      <c r="R205" s="61">
        <f t="shared" si="49"/>
        <v>92</v>
      </c>
      <c r="S205" s="68">
        <f t="shared" si="46"/>
        <v>124</v>
      </c>
    </row>
    <row r="206" spans="1:19" hidden="1" x14ac:dyDescent="0.35">
      <c r="A206" s="59" t="s">
        <v>310</v>
      </c>
      <c r="B206" s="54">
        <v>30</v>
      </c>
      <c r="C206" s="60" t="s">
        <v>225</v>
      </c>
      <c r="D206" s="60"/>
      <c r="E206" s="60"/>
      <c r="F206" s="60"/>
      <c r="G206" s="60"/>
      <c r="H206" s="61">
        <f>SUM(D206:G206)</f>
        <v>0</v>
      </c>
      <c r="I206" s="60"/>
      <c r="J206" s="60"/>
      <c r="K206" s="60"/>
      <c r="L206" s="60"/>
      <c r="M206" s="61">
        <f>SUM(I206:L206)</f>
        <v>0</v>
      </c>
      <c r="N206" s="60"/>
      <c r="O206" s="60"/>
      <c r="P206" s="60"/>
      <c r="Q206" s="60"/>
      <c r="R206" s="61">
        <f>SUM(N206:Q206)</f>
        <v>0</v>
      </c>
      <c r="S206" s="68">
        <f t="shared" si="46"/>
        <v>0</v>
      </c>
    </row>
    <row r="207" spans="1:19" hidden="1" x14ac:dyDescent="0.35">
      <c r="A207" s="111" t="s">
        <v>263</v>
      </c>
      <c r="B207" s="54"/>
      <c r="C207" s="63" t="s">
        <v>227</v>
      </c>
      <c r="D207" s="63"/>
      <c r="E207" s="63"/>
      <c r="F207" s="63"/>
      <c r="G207" s="63"/>
      <c r="H207" s="61">
        <f>SUM(D207:G207)</f>
        <v>0</v>
      </c>
      <c r="I207" s="63"/>
      <c r="J207" s="63"/>
      <c r="K207" s="63"/>
      <c r="L207" s="63"/>
      <c r="M207" s="61">
        <f>SUM(I207:L207)</f>
        <v>0</v>
      </c>
      <c r="N207" s="63"/>
      <c r="O207" s="63"/>
      <c r="P207" s="63"/>
      <c r="Q207" s="63"/>
      <c r="R207" s="61">
        <f>SUM(N207:Q207)</f>
        <v>0</v>
      </c>
      <c r="S207" s="68">
        <f t="shared" si="46"/>
        <v>0</v>
      </c>
    </row>
    <row r="208" spans="1:19" hidden="1" x14ac:dyDescent="0.35">
      <c r="A208" s="111"/>
      <c r="B208" s="54"/>
      <c r="C208" s="60" t="s">
        <v>228</v>
      </c>
      <c r="D208" s="60"/>
      <c r="E208" s="60"/>
      <c r="F208" s="60"/>
      <c r="G208" s="60"/>
      <c r="H208" s="61">
        <f>SUM(D208:G208)</f>
        <v>0</v>
      </c>
      <c r="I208" s="60"/>
      <c r="J208" s="60"/>
      <c r="K208" s="60"/>
      <c r="L208" s="60"/>
      <c r="M208" s="61">
        <f>SUM(I208:L208)</f>
        <v>0</v>
      </c>
      <c r="N208" s="60"/>
      <c r="O208" s="60"/>
      <c r="P208" s="60"/>
      <c r="Q208" s="60"/>
      <c r="R208" s="61">
        <f>SUM(N208:Q208)</f>
        <v>0</v>
      </c>
      <c r="S208" s="68">
        <f t="shared" si="46"/>
        <v>0</v>
      </c>
    </row>
    <row r="209" spans="1:19" hidden="1" x14ac:dyDescent="0.35">
      <c r="A209" s="111"/>
      <c r="B209" s="54"/>
      <c r="C209" s="63" t="s">
        <v>235</v>
      </c>
      <c r="D209" s="63"/>
      <c r="E209" s="63"/>
      <c r="F209" s="63"/>
      <c r="G209" s="63"/>
      <c r="H209" s="61">
        <f>SUM(D209:G209)</f>
        <v>0</v>
      </c>
      <c r="I209" s="63"/>
      <c r="J209" s="63"/>
      <c r="K209" s="63"/>
      <c r="L209" s="63"/>
      <c r="M209" s="61">
        <f>SUM(I209:L209)</f>
        <v>0</v>
      </c>
      <c r="N209" s="63">
        <v>2</v>
      </c>
      <c r="O209" s="63"/>
      <c r="P209" s="63"/>
      <c r="Q209" s="63"/>
      <c r="R209" s="61">
        <f>SUM(N209:Q209)</f>
        <v>2</v>
      </c>
      <c r="S209" s="68">
        <f t="shared" si="46"/>
        <v>2</v>
      </c>
    </row>
    <row r="210" spans="1:19" x14ac:dyDescent="0.35">
      <c r="A210" s="66" t="s">
        <v>310</v>
      </c>
      <c r="B210" s="67">
        <v>30</v>
      </c>
      <c r="C210" s="66"/>
      <c r="D210" s="66">
        <f t="shared" ref="D210:R210" si="50">SUM(D206:D209)</f>
        <v>0</v>
      </c>
      <c r="E210" s="66">
        <f t="shared" si="50"/>
        <v>0</v>
      </c>
      <c r="F210" s="66">
        <f t="shared" si="50"/>
        <v>0</v>
      </c>
      <c r="G210" s="66">
        <f t="shared" si="50"/>
        <v>0</v>
      </c>
      <c r="H210" s="61">
        <f t="shared" si="50"/>
        <v>0</v>
      </c>
      <c r="I210" s="66">
        <f t="shared" si="50"/>
        <v>0</v>
      </c>
      <c r="J210" s="66">
        <f t="shared" si="50"/>
        <v>0</v>
      </c>
      <c r="K210" s="66">
        <f t="shared" si="50"/>
        <v>0</v>
      </c>
      <c r="L210" s="66">
        <f t="shared" si="50"/>
        <v>0</v>
      </c>
      <c r="M210" s="61">
        <f t="shared" si="50"/>
        <v>0</v>
      </c>
      <c r="N210" s="66">
        <f t="shared" si="50"/>
        <v>2</v>
      </c>
      <c r="O210" s="66">
        <f t="shared" si="50"/>
        <v>0</v>
      </c>
      <c r="P210" s="66">
        <f t="shared" si="50"/>
        <v>0</v>
      </c>
      <c r="Q210" s="66">
        <f t="shared" si="50"/>
        <v>0</v>
      </c>
      <c r="R210" s="61">
        <f t="shared" si="50"/>
        <v>2</v>
      </c>
      <c r="S210" s="68">
        <f t="shared" si="46"/>
        <v>2</v>
      </c>
    </row>
    <row r="211" spans="1:19" hidden="1" x14ac:dyDescent="0.35">
      <c r="A211" s="59" t="s">
        <v>311</v>
      </c>
      <c r="B211" s="54">
        <v>11</v>
      </c>
      <c r="C211" s="60" t="s">
        <v>225</v>
      </c>
      <c r="D211" s="60">
        <v>4</v>
      </c>
      <c r="E211" s="60"/>
      <c r="F211" s="60"/>
      <c r="G211" s="60"/>
      <c r="H211" s="61">
        <f>SUM(D211:G211)</f>
        <v>4</v>
      </c>
      <c r="I211" s="60">
        <v>22</v>
      </c>
      <c r="J211" s="60"/>
      <c r="K211" s="60"/>
      <c r="L211" s="60"/>
      <c r="M211" s="61">
        <f>SUM(I211:L211)</f>
        <v>22</v>
      </c>
      <c r="N211" s="60">
        <v>28</v>
      </c>
      <c r="O211" s="60"/>
      <c r="P211" s="60"/>
      <c r="Q211" s="60"/>
      <c r="R211" s="61">
        <f>SUM(N211:Q211)</f>
        <v>28</v>
      </c>
      <c r="S211" s="68">
        <f t="shared" si="46"/>
        <v>54</v>
      </c>
    </row>
    <row r="212" spans="1:19" hidden="1" x14ac:dyDescent="0.35">
      <c r="A212" s="111" t="s">
        <v>300</v>
      </c>
      <c r="B212" s="54"/>
      <c r="C212" s="63" t="s">
        <v>227</v>
      </c>
      <c r="D212" s="63">
        <v>6</v>
      </c>
      <c r="E212" s="63"/>
      <c r="F212" s="63"/>
      <c r="G212" s="63"/>
      <c r="H212" s="61">
        <f>SUM(D212:G212)</f>
        <v>6</v>
      </c>
      <c r="I212" s="63">
        <v>18</v>
      </c>
      <c r="J212" s="63"/>
      <c r="K212" s="63"/>
      <c r="L212" s="63"/>
      <c r="M212" s="61">
        <f>SUM(I212:L212)</f>
        <v>18</v>
      </c>
      <c r="N212" s="63">
        <v>34</v>
      </c>
      <c r="O212" s="63"/>
      <c r="P212" s="63"/>
      <c r="Q212" s="63"/>
      <c r="R212" s="61">
        <f>SUM(N212:Q212)</f>
        <v>34</v>
      </c>
      <c r="S212" s="68">
        <f t="shared" si="46"/>
        <v>58</v>
      </c>
    </row>
    <row r="213" spans="1:19" hidden="1" x14ac:dyDescent="0.35">
      <c r="A213" s="111"/>
      <c r="B213" s="54"/>
      <c r="C213" s="60" t="s">
        <v>228</v>
      </c>
      <c r="D213" s="60">
        <v>9</v>
      </c>
      <c r="E213" s="60"/>
      <c r="F213" s="60"/>
      <c r="G213" s="60"/>
      <c r="H213" s="61">
        <f>SUM(D213:G213)</f>
        <v>9</v>
      </c>
      <c r="I213" s="60">
        <v>16</v>
      </c>
      <c r="J213" s="60"/>
      <c r="K213" s="60"/>
      <c r="L213" s="60"/>
      <c r="M213" s="61">
        <f>SUM(I213:L213)</f>
        <v>16</v>
      </c>
      <c r="N213" s="60">
        <v>33</v>
      </c>
      <c r="O213" s="60"/>
      <c r="P213" s="60"/>
      <c r="Q213" s="60"/>
      <c r="R213" s="61">
        <f>SUM(N213:Q213)</f>
        <v>33</v>
      </c>
      <c r="S213" s="68">
        <f t="shared" si="46"/>
        <v>58</v>
      </c>
    </row>
    <row r="214" spans="1:19" hidden="1" x14ac:dyDescent="0.35">
      <c r="A214" s="111"/>
      <c r="B214" s="54"/>
      <c r="C214" s="63" t="s">
        <v>235</v>
      </c>
      <c r="D214" s="63">
        <v>8</v>
      </c>
      <c r="E214" s="63"/>
      <c r="F214" s="63"/>
      <c r="G214" s="63"/>
      <c r="H214" s="61">
        <f>SUM(D214:G214)</f>
        <v>8</v>
      </c>
      <c r="I214" s="63">
        <v>26</v>
      </c>
      <c r="J214" s="63"/>
      <c r="K214" s="63"/>
      <c r="L214" s="63"/>
      <c r="M214" s="61">
        <f>SUM(I214:L214)</f>
        <v>26</v>
      </c>
      <c r="N214" s="63">
        <v>23</v>
      </c>
      <c r="O214" s="63"/>
      <c r="P214" s="63"/>
      <c r="Q214" s="63"/>
      <c r="R214" s="61">
        <f>SUM(N214:Q214)</f>
        <v>23</v>
      </c>
      <c r="S214" s="68">
        <f t="shared" si="46"/>
        <v>57</v>
      </c>
    </row>
    <row r="215" spans="1:19" x14ac:dyDescent="0.35">
      <c r="A215" s="66" t="s">
        <v>311</v>
      </c>
      <c r="B215" s="67">
        <v>11</v>
      </c>
      <c r="C215" s="66"/>
      <c r="D215" s="66">
        <f t="shared" ref="D215:R215" si="51">SUM(D211:D214)</f>
        <v>27</v>
      </c>
      <c r="E215" s="66">
        <f t="shared" si="51"/>
        <v>0</v>
      </c>
      <c r="F215" s="66">
        <f t="shared" si="51"/>
        <v>0</v>
      </c>
      <c r="G215" s="66">
        <f t="shared" si="51"/>
        <v>0</v>
      </c>
      <c r="H215" s="61">
        <f t="shared" si="51"/>
        <v>27</v>
      </c>
      <c r="I215" s="66">
        <f t="shared" si="51"/>
        <v>82</v>
      </c>
      <c r="J215" s="66">
        <f t="shared" si="51"/>
        <v>0</v>
      </c>
      <c r="K215" s="66">
        <f t="shared" si="51"/>
        <v>0</v>
      </c>
      <c r="L215" s="66">
        <f t="shared" si="51"/>
        <v>0</v>
      </c>
      <c r="M215" s="61">
        <f t="shared" si="51"/>
        <v>82</v>
      </c>
      <c r="N215" s="66">
        <f t="shared" si="51"/>
        <v>118</v>
      </c>
      <c r="O215" s="66">
        <f t="shared" si="51"/>
        <v>0</v>
      </c>
      <c r="P215" s="66">
        <f t="shared" si="51"/>
        <v>0</v>
      </c>
      <c r="Q215" s="66">
        <f t="shared" si="51"/>
        <v>0</v>
      </c>
      <c r="R215" s="61">
        <f t="shared" si="51"/>
        <v>118</v>
      </c>
      <c r="S215" s="68">
        <f t="shared" si="46"/>
        <v>227</v>
      </c>
    </row>
    <row r="216" spans="1:19" hidden="1" x14ac:dyDescent="0.35">
      <c r="A216" s="59" t="s">
        <v>312</v>
      </c>
      <c r="B216" s="54">
        <v>4</v>
      </c>
      <c r="C216" s="60" t="s">
        <v>225</v>
      </c>
      <c r="D216" s="60"/>
      <c r="E216" s="60"/>
      <c r="F216" s="60"/>
      <c r="G216" s="60"/>
      <c r="H216" s="61">
        <f>SUM(D216:G216)</f>
        <v>0</v>
      </c>
      <c r="I216" s="60"/>
      <c r="J216" s="60"/>
      <c r="K216" s="60"/>
      <c r="L216" s="60"/>
      <c r="M216" s="61">
        <f>SUM(I216:L216)</f>
        <v>0</v>
      </c>
      <c r="N216" s="60"/>
      <c r="O216" s="60"/>
      <c r="P216" s="60"/>
      <c r="Q216" s="60"/>
      <c r="R216" s="61">
        <f>SUM(N216:Q216)</f>
        <v>0</v>
      </c>
      <c r="S216" s="68">
        <f t="shared" si="46"/>
        <v>0</v>
      </c>
    </row>
    <row r="217" spans="1:19" hidden="1" x14ac:dyDescent="0.35">
      <c r="A217" s="111" t="s">
        <v>254</v>
      </c>
      <c r="B217" s="54"/>
      <c r="C217" s="63" t="s">
        <v>227</v>
      </c>
      <c r="D217" s="63"/>
      <c r="E217" s="63"/>
      <c r="F217" s="63"/>
      <c r="G217" s="63"/>
      <c r="H217" s="61">
        <f>SUM(D217:G217)</f>
        <v>0</v>
      </c>
      <c r="I217" s="63"/>
      <c r="J217" s="63"/>
      <c r="K217" s="63"/>
      <c r="L217" s="63"/>
      <c r="M217" s="61">
        <f>SUM(I217:L217)</f>
        <v>0</v>
      </c>
      <c r="N217" s="63"/>
      <c r="O217" s="63"/>
      <c r="P217" s="63"/>
      <c r="Q217" s="63"/>
      <c r="R217" s="61">
        <f>SUM(N217:Q217)</f>
        <v>0</v>
      </c>
      <c r="S217" s="68">
        <f t="shared" si="46"/>
        <v>0</v>
      </c>
    </row>
    <row r="218" spans="1:19" hidden="1" x14ac:dyDescent="0.35">
      <c r="A218" s="111"/>
      <c r="B218" s="54"/>
      <c r="C218" s="60" t="s">
        <v>228</v>
      </c>
      <c r="D218" s="60"/>
      <c r="E218" s="60"/>
      <c r="F218" s="60"/>
      <c r="G218" s="60"/>
      <c r="H218" s="61">
        <f>SUM(D218:G218)</f>
        <v>0</v>
      </c>
      <c r="I218" s="60"/>
      <c r="J218" s="60"/>
      <c r="K218" s="60"/>
      <c r="L218" s="60"/>
      <c r="M218" s="61">
        <f>SUM(I218:L218)</f>
        <v>0</v>
      </c>
      <c r="N218" s="60"/>
      <c r="O218" s="60"/>
      <c r="P218" s="60"/>
      <c r="Q218" s="60"/>
      <c r="R218" s="61">
        <f>SUM(N218:Q218)</f>
        <v>0</v>
      </c>
      <c r="S218" s="68">
        <f t="shared" si="46"/>
        <v>0</v>
      </c>
    </row>
    <row r="219" spans="1:19" hidden="1" x14ac:dyDescent="0.35">
      <c r="A219" s="111"/>
      <c r="B219" s="54"/>
      <c r="C219" s="63" t="s">
        <v>235</v>
      </c>
      <c r="D219" s="63"/>
      <c r="E219" s="63"/>
      <c r="F219" s="63"/>
      <c r="G219" s="63"/>
      <c r="H219" s="61">
        <f>SUM(D219:G219)</f>
        <v>0</v>
      </c>
      <c r="I219" s="63"/>
      <c r="J219" s="63"/>
      <c r="K219" s="63"/>
      <c r="L219" s="63"/>
      <c r="M219" s="61">
        <f>SUM(I219:L219)</f>
        <v>0</v>
      </c>
      <c r="N219" s="63"/>
      <c r="O219" s="63"/>
      <c r="P219" s="63"/>
      <c r="Q219" s="63"/>
      <c r="R219" s="61">
        <f>SUM(N219:Q219)</f>
        <v>0</v>
      </c>
      <c r="S219" s="68">
        <f t="shared" si="46"/>
        <v>0</v>
      </c>
    </row>
    <row r="220" spans="1:19" x14ac:dyDescent="0.35">
      <c r="A220" s="66" t="s">
        <v>312</v>
      </c>
      <c r="B220" s="67">
        <v>4</v>
      </c>
      <c r="C220" s="66"/>
      <c r="D220" s="66">
        <f t="shared" ref="D220:R220" si="52">SUM(D216:D219)</f>
        <v>0</v>
      </c>
      <c r="E220" s="66">
        <f t="shared" si="52"/>
        <v>0</v>
      </c>
      <c r="F220" s="66">
        <f t="shared" si="52"/>
        <v>0</v>
      </c>
      <c r="G220" s="66">
        <f t="shared" si="52"/>
        <v>0</v>
      </c>
      <c r="H220" s="61">
        <f t="shared" si="52"/>
        <v>0</v>
      </c>
      <c r="I220" s="66">
        <f t="shared" si="52"/>
        <v>0</v>
      </c>
      <c r="J220" s="66">
        <f t="shared" si="52"/>
        <v>0</v>
      </c>
      <c r="K220" s="66">
        <f t="shared" si="52"/>
        <v>0</v>
      </c>
      <c r="L220" s="66">
        <f t="shared" si="52"/>
        <v>0</v>
      </c>
      <c r="M220" s="61">
        <f t="shared" si="52"/>
        <v>0</v>
      </c>
      <c r="N220" s="66">
        <f t="shared" si="52"/>
        <v>0</v>
      </c>
      <c r="O220" s="66">
        <f t="shared" si="52"/>
        <v>0</v>
      </c>
      <c r="P220" s="66">
        <f t="shared" si="52"/>
        <v>0</v>
      </c>
      <c r="Q220" s="66">
        <f t="shared" si="52"/>
        <v>0</v>
      </c>
      <c r="R220" s="61">
        <f t="shared" si="52"/>
        <v>0</v>
      </c>
      <c r="S220" s="68">
        <f t="shared" si="46"/>
        <v>0</v>
      </c>
    </row>
    <row r="221" spans="1:19" hidden="1" x14ac:dyDescent="0.35">
      <c r="A221" s="59" t="s">
        <v>313</v>
      </c>
      <c r="B221" s="54">
        <v>11</v>
      </c>
      <c r="C221" s="60" t="s">
        <v>225</v>
      </c>
      <c r="D221" s="60"/>
      <c r="E221" s="60"/>
      <c r="F221" s="60"/>
      <c r="G221" s="60"/>
      <c r="H221" s="61">
        <f>SUM(D221:G221)</f>
        <v>0</v>
      </c>
      <c r="I221" s="60"/>
      <c r="J221" s="60"/>
      <c r="K221" s="60"/>
      <c r="L221" s="60"/>
      <c r="M221" s="61">
        <f>SUM(I221:L221)</f>
        <v>0</v>
      </c>
      <c r="N221" s="60"/>
      <c r="O221" s="60"/>
      <c r="P221" s="60"/>
      <c r="Q221" s="60"/>
      <c r="R221" s="61">
        <f>SUM(N221:Q221)</f>
        <v>0</v>
      </c>
      <c r="S221" s="68">
        <f t="shared" si="46"/>
        <v>0</v>
      </c>
    </row>
    <row r="222" spans="1:19" hidden="1" x14ac:dyDescent="0.35">
      <c r="A222" s="111" t="s">
        <v>300</v>
      </c>
      <c r="B222" s="54"/>
      <c r="C222" s="63" t="s">
        <v>227</v>
      </c>
      <c r="D222" s="63"/>
      <c r="E222" s="63"/>
      <c r="F222" s="63"/>
      <c r="G222" s="63"/>
      <c r="H222" s="61">
        <f>SUM(D222:G222)</f>
        <v>0</v>
      </c>
      <c r="I222" s="63"/>
      <c r="J222" s="63"/>
      <c r="K222" s="63"/>
      <c r="L222" s="63"/>
      <c r="M222" s="61">
        <f>SUM(I222:L222)</f>
        <v>0</v>
      </c>
      <c r="N222" s="63"/>
      <c r="O222" s="63"/>
      <c r="P222" s="63"/>
      <c r="Q222" s="63"/>
      <c r="R222" s="61">
        <f>SUM(N222:Q222)</f>
        <v>0</v>
      </c>
      <c r="S222" s="68">
        <f t="shared" si="46"/>
        <v>0</v>
      </c>
    </row>
    <row r="223" spans="1:19" hidden="1" x14ac:dyDescent="0.35">
      <c r="A223" s="111"/>
      <c r="B223" s="54"/>
      <c r="C223" s="60" t="s">
        <v>228</v>
      </c>
      <c r="D223" s="60"/>
      <c r="E223" s="60"/>
      <c r="F223" s="60"/>
      <c r="G223" s="60"/>
      <c r="H223" s="61">
        <f>SUM(D223:G223)</f>
        <v>0</v>
      </c>
      <c r="I223" s="60"/>
      <c r="J223" s="60"/>
      <c r="K223" s="60"/>
      <c r="L223" s="60"/>
      <c r="M223" s="61">
        <f>SUM(I223:L223)</f>
        <v>0</v>
      </c>
      <c r="N223" s="60"/>
      <c r="O223" s="60"/>
      <c r="P223" s="60"/>
      <c r="Q223" s="60"/>
      <c r="R223" s="61">
        <f>SUM(N223:Q223)</f>
        <v>0</v>
      </c>
      <c r="S223" s="68">
        <f t="shared" si="46"/>
        <v>0</v>
      </c>
    </row>
    <row r="224" spans="1:19" hidden="1" x14ac:dyDescent="0.35">
      <c r="A224" s="111"/>
      <c r="B224" s="54"/>
      <c r="C224" s="63" t="s">
        <v>235</v>
      </c>
      <c r="D224" s="63"/>
      <c r="E224" s="63"/>
      <c r="F224" s="63"/>
      <c r="G224" s="63"/>
      <c r="H224" s="61">
        <f>SUM(D224:G224)</f>
        <v>0</v>
      </c>
      <c r="I224" s="63"/>
      <c r="J224" s="63"/>
      <c r="K224" s="63"/>
      <c r="L224" s="63"/>
      <c r="M224" s="61">
        <f>SUM(I224:L224)</f>
        <v>0</v>
      </c>
      <c r="N224" s="63"/>
      <c r="O224" s="63"/>
      <c r="P224" s="63"/>
      <c r="Q224" s="63"/>
      <c r="R224" s="61">
        <f>SUM(N224:Q224)</f>
        <v>0</v>
      </c>
      <c r="S224" s="68">
        <f t="shared" si="46"/>
        <v>0</v>
      </c>
    </row>
    <row r="225" spans="1:19" x14ac:dyDescent="0.35">
      <c r="A225" s="66" t="s">
        <v>313</v>
      </c>
      <c r="B225" s="67">
        <v>11</v>
      </c>
      <c r="C225" s="66"/>
      <c r="D225" s="66">
        <f t="shared" ref="D225:R225" si="53">SUM(D221:D224)</f>
        <v>0</v>
      </c>
      <c r="E225" s="66">
        <f t="shared" si="53"/>
        <v>0</v>
      </c>
      <c r="F225" s="66">
        <f t="shared" si="53"/>
        <v>0</v>
      </c>
      <c r="G225" s="66">
        <f t="shared" si="53"/>
        <v>0</v>
      </c>
      <c r="H225" s="61">
        <f t="shared" si="53"/>
        <v>0</v>
      </c>
      <c r="I225" s="66">
        <f t="shared" si="53"/>
        <v>0</v>
      </c>
      <c r="J225" s="66">
        <f t="shared" si="53"/>
        <v>0</v>
      </c>
      <c r="K225" s="66">
        <f t="shared" si="53"/>
        <v>0</v>
      </c>
      <c r="L225" s="66">
        <f t="shared" si="53"/>
        <v>0</v>
      </c>
      <c r="M225" s="61">
        <f t="shared" si="53"/>
        <v>0</v>
      </c>
      <c r="N225" s="66">
        <f t="shared" si="53"/>
        <v>0</v>
      </c>
      <c r="O225" s="66">
        <f t="shared" si="53"/>
        <v>0</v>
      </c>
      <c r="P225" s="66">
        <f t="shared" si="53"/>
        <v>0</v>
      </c>
      <c r="Q225" s="66">
        <f t="shared" si="53"/>
        <v>0</v>
      </c>
      <c r="R225" s="61">
        <f t="shared" si="53"/>
        <v>0</v>
      </c>
      <c r="S225" s="68">
        <f t="shared" si="46"/>
        <v>0</v>
      </c>
    </row>
    <row r="226" spans="1:19" hidden="1" x14ac:dyDescent="0.35">
      <c r="A226" s="59" t="s">
        <v>314</v>
      </c>
      <c r="B226" s="54">
        <v>8</v>
      </c>
      <c r="C226" s="60" t="s">
        <v>225</v>
      </c>
      <c r="D226" s="60">
        <v>1</v>
      </c>
      <c r="E226" s="60"/>
      <c r="F226" s="60"/>
      <c r="G226" s="60"/>
      <c r="H226" s="61">
        <f>SUM(D226:G226)</f>
        <v>1</v>
      </c>
      <c r="I226" s="60">
        <v>1</v>
      </c>
      <c r="J226" s="60"/>
      <c r="K226" s="60"/>
      <c r="L226" s="60"/>
      <c r="M226" s="61">
        <f>SUM(I226:L226)</f>
        <v>1</v>
      </c>
      <c r="N226" s="60">
        <v>12</v>
      </c>
      <c r="O226" s="60"/>
      <c r="P226" s="60"/>
      <c r="Q226" s="60"/>
      <c r="R226" s="61">
        <f>SUM(N226:Q226)</f>
        <v>12</v>
      </c>
      <c r="S226" s="68">
        <f t="shared" si="46"/>
        <v>14</v>
      </c>
    </row>
    <row r="227" spans="1:19" hidden="1" x14ac:dyDescent="0.35">
      <c r="A227" s="111" t="s">
        <v>296</v>
      </c>
      <c r="B227" s="54"/>
      <c r="C227" s="63" t="s">
        <v>227</v>
      </c>
      <c r="D227" s="63">
        <v>3</v>
      </c>
      <c r="E227" s="63"/>
      <c r="F227" s="63"/>
      <c r="G227" s="63"/>
      <c r="H227" s="61">
        <f>SUM(D227:G227)</f>
        <v>3</v>
      </c>
      <c r="I227" s="63">
        <v>2</v>
      </c>
      <c r="J227" s="63"/>
      <c r="K227" s="63"/>
      <c r="L227" s="63"/>
      <c r="M227" s="61">
        <f>SUM(I227:L227)</f>
        <v>2</v>
      </c>
      <c r="N227" s="63">
        <v>3</v>
      </c>
      <c r="O227" s="63"/>
      <c r="P227" s="63"/>
      <c r="Q227" s="63"/>
      <c r="R227" s="61">
        <f>SUM(N227:Q227)</f>
        <v>3</v>
      </c>
      <c r="S227" s="68">
        <f t="shared" si="46"/>
        <v>8</v>
      </c>
    </row>
    <row r="228" spans="1:19" hidden="1" x14ac:dyDescent="0.35">
      <c r="A228" s="111"/>
      <c r="B228" s="54"/>
      <c r="C228" s="60" t="s">
        <v>228</v>
      </c>
      <c r="D228" s="60">
        <v>1</v>
      </c>
      <c r="E228" s="60"/>
      <c r="F228" s="60"/>
      <c r="G228" s="60"/>
      <c r="H228" s="61">
        <f>SUM(D228:G228)</f>
        <v>1</v>
      </c>
      <c r="I228" s="60"/>
      <c r="J228" s="60"/>
      <c r="K228" s="60"/>
      <c r="L228" s="60"/>
      <c r="M228" s="61">
        <f>SUM(I228:L228)</f>
        <v>0</v>
      </c>
      <c r="N228" s="60">
        <v>8</v>
      </c>
      <c r="O228" s="60"/>
      <c r="P228" s="60"/>
      <c r="Q228" s="60"/>
      <c r="R228" s="61">
        <f>SUM(N228:Q228)</f>
        <v>8</v>
      </c>
      <c r="S228" s="68">
        <f t="shared" si="46"/>
        <v>9</v>
      </c>
    </row>
    <row r="229" spans="1:19" hidden="1" x14ac:dyDescent="0.35">
      <c r="A229" s="111"/>
      <c r="B229" s="54"/>
      <c r="C229" s="63" t="s">
        <v>235</v>
      </c>
      <c r="D229" s="63">
        <v>4</v>
      </c>
      <c r="E229" s="63"/>
      <c r="F229" s="63"/>
      <c r="G229" s="63"/>
      <c r="H229" s="61">
        <f>SUM(D229:G229)</f>
        <v>4</v>
      </c>
      <c r="I229" s="63">
        <v>0</v>
      </c>
      <c r="J229" s="63"/>
      <c r="K229" s="63"/>
      <c r="L229" s="63"/>
      <c r="M229" s="61">
        <f>SUM(I229:L229)</f>
        <v>0</v>
      </c>
      <c r="N229" s="63">
        <v>5</v>
      </c>
      <c r="O229" s="63"/>
      <c r="P229" s="63"/>
      <c r="Q229" s="63"/>
      <c r="R229" s="61">
        <f>SUM(N229:Q229)</f>
        <v>5</v>
      </c>
      <c r="S229" s="68">
        <f t="shared" si="46"/>
        <v>9</v>
      </c>
    </row>
    <row r="230" spans="1:19" x14ac:dyDescent="0.35">
      <c r="A230" s="66" t="s">
        <v>314</v>
      </c>
      <c r="B230" s="67">
        <v>8</v>
      </c>
      <c r="C230" s="66"/>
      <c r="D230" s="66">
        <f t="shared" ref="D230:R230" si="54">SUM(D226:D229)</f>
        <v>9</v>
      </c>
      <c r="E230" s="66">
        <f t="shared" si="54"/>
        <v>0</v>
      </c>
      <c r="F230" s="66">
        <f t="shared" si="54"/>
        <v>0</v>
      </c>
      <c r="G230" s="66">
        <f t="shared" si="54"/>
        <v>0</v>
      </c>
      <c r="H230" s="61">
        <f t="shared" si="54"/>
        <v>9</v>
      </c>
      <c r="I230" s="66">
        <f t="shared" si="54"/>
        <v>3</v>
      </c>
      <c r="J230" s="66">
        <f t="shared" si="54"/>
        <v>0</v>
      </c>
      <c r="K230" s="66">
        <f t="shared" si="54"/>
        <v>0</v>
      </c>
      <c r="L230" s="66">
        <f t="shared" si="54"/>
        <v>0</v>
      </c>
      <c r="M230" s="61">
        <f t="shared" si="54"/>
        <v>3</v>
      </c>
      <c r="N230" s="66">
        <f t="shared" si="54"/>
        <v>28</v>
      </c>
      <c r="O230" s="66">
        <f t="shared" si="54"/>
        <v>0</v>
      </c>
      <c r="P230" s="66">
        <f t="shared" si="54"/>
        <v>0</v>
      </c>
      <c r="Q230" s="66">
        <f t="shared" si="54"/>
        <v>0</v>
      </c>
      <c r="R230" s="61">
        <f t="shared" si="54"/>
        <v>28</v>
      </c>
      <c r="S230" s="68">
        <f t="shared" si="46"/>
        <v>40</v>
      </c>
    </row>
    <row r="231" spans="1:19" hidden="1" x14ac:dyDescent="0.35">
      <c r="A231" s="59" t="s">
        <v>315</v>
      </c>
      <c r="B231" s="54" t="s">
        <v>266</v>
      </c>
      <c r="C231" s="60" t="s">
        <v>225</v>
      </c>
      <c r="D231" s="60"/>
      <c r="E231" s="60"/>
      <c r="F231" s="60"/>
      <c r="G231" s="60"/>
      <c r="H231" s="61">
        <f>SUM(D231:G231)</f>
        <v>0</v>
      </c>
      <c r="I231" s="60">
        <v>1</v>
      </c>
      <c r="J231" s="60"/>
      <c r="K231" s="60"/>
      <c r="L231" s="60"/>
      <c r="M231" s="61">
        <f>SUM(I231:L231)</f>
        <v>1</v>
      </c>
      <c r="N231" s="60">
        <v>5</v>
      </c>
      <c r="O231" s="60"/>
      <c r="P231" s="60"/>
      <c r="Q231" s="60"/>
      <c r="R231" s="61">
        <f>SUM(N231:Q231)</f>
        <v>5</v>
      </c>
      <c r="S231" s="68">
        <f t="shared" si="46"/>
        <v>6</v>
      </c>
    </row>
    <row r="232" spans="1:19" hidden="1" x14ac:dyDescent="0.35">
      <c r="A232" s="111" t="s">
        <v>397</v>
      </c>
      <c r="B232" s="54"/>
      <c r="C232" s="63" t="s">
        <v>227</v>
      </c>
      <c r="D232" s="63"/>
      <c r="E232" s="63"/>
      <c r="F232" s="63"/>
      <c r="G232" s="63"/>
      <c r="H232" s="61">
        <f>SUM(D232:G232)</f>
        <v>0</v>
      </c>
      <c r="I232" s="63">
        <v>3</v>
      </c>
      <c r="J232" s="63"/>
      <c r="K232" s="63"/>
      <c r="L232" s="63"/>
      <c r="M232" s="61">
        <f>SUM(I232:L232)</f>
        <v>3</v>
      </c>
      <c r="N232" s="63">
        <v>9</v>
      </c>
      <c r="O232" s="63"/>
      <c r="P232" s="63"/>
      <c r="Q232" s="63"/>
      <c r="R232" s="61">
        <f>SUM(N232:Q232)</f>
        <v>9</v>
      </c>
      <c r="S232" s="68">
        <f t="shared" si="46"/>
        <v>12</v>
      </c>
    </row>
    <row r="233" spans="1:19" hidden="1" x14ac:dyDescent="0.35">
      <c r="A233" s="111"/>
      <c r="B233" s="54"/>
      <c r="C233" s="60" t="s">
        <v>228</v>
      </c>
      <c r="D233" s="60"/>
      <c r="E233" s="60"/>
      <c r="F233" s="60"/>
      <c r="G233" s="60"/>
      <c r="H233" s="61">
        <f>SUM(D233:G233)</f>
        <v>0</v>
      </c>
      <c r="I233" s="60">
        <v>3</v>
      </c>
      <c r="J233" s="60"/>
      <c r="K233" s="60"/>
      <c r="L233" s="60"/>
      <c r="M233" s="61">
        <f>SUM(I233:L233)</f>
        <v>3</v>
      </c>
      <c r="N233" s="60">
        <v>9</v>
      </c>
      <c r="O233" s="60"/>
      <c r="P233" s="60"/>
      <c r="Q233" s="60"/>
      <c r="R233" s="61">
        <f>SUM(N233:Q233)</f>
        <v>9</v>
      </c>
      <c r="S233" s="68">
        <f t="shared" si="46"/>
        <v>12</v>
      </c>
    </row>
    <row r="234" spans="1:19" hidden="1" x14ac:dyDescent="0.35">
      <c r="A234" s="111"/>
      <c r="B234" s="54"/>
      <c r="C234" s="63" t="s">
        <v>235</v>
      </c>
      <c r="D234" s="63"/>
      <c r="E234" s="63"/>
      <c r="F234" s="63"/>
      <c r="G234" s="63"/>
      <c r="H234" s="61">
        <f>SUM(D234:G234)</f>
        <v>0</v>
      </c>
      <c r="I234" s="63">
        <v>1</v>
      </c>
      <c r="J234" s="63"/>
      <c r="K234" s="63"/>
      <c r="L234" s="63"/>
      <c r="M234" s="61">
        <f>SUM(I234:L234)</f>
        <v>1</v>
      </c>
      <c r="N234" s="63">
        <v>12</v>
      </c>
      <c r="O234" s="63"/>
      <c r="P234" s="63"/>
      <c r="Q234" s="63"/>
      <c r="R234" s="61">
        <f>SUM(N234:Q234)</f>
        <v>12</v>
      </c>
      <c r="S234" s="68">
        <f t="shared" si="46"/>
        <v>13</v>
      </c>
    </row>
    <row r="235" spans="1:19" x14ac:dyDescent="0.35">
      <c r="A235" s="66" t="s">
        <v>315</v>
      </c>
      <c r="B235" s="67" t="s">
        <v>266</v>
      </c>
      <c r="C235" s="66"/>
      <c r="D235" s="66">
        <f t="shared" ref="D235:R235" si="55">SUM(D231:D234)</f>
        <v>0</v>
      </c>
      <c r="E235" s="66">
        <f t="shared" si="55"/>
        <v>0</v>
      </c>
      <c r="F235" s="66">
        <f t="shared" si="55"/>
        <v>0</v>
      </c>
      <c r="G235" s="66">
        <f t="shared" si="55"/>
        <v>0</v>
      </c>
      <c r="H235" s="61">
        <f t="shared" si="55"/>
        <v>0</v>
      </c>
      <c r="I235" s="66">
        <f t="shared" si="55"/>
        <v>8</v>
      </c>
      <c r="J235" s="66">
        <f t="shared" si="55"/>
        <v>0</v>
      </c>
      <c r="K235" s="66">
        <f t="shared" si="55"/>
        <v>0</v>
      </c>
      <c r="L235" s="66">
        <f t="shared" si="55"/>
        <v>0</v>
      </c>
      <c r="M235" s="61">
        <f t="shared" si="55"/>
        <v>8</v>
      </c>
      <c r="N235" s="66">
        <f t="shared" si="55"/>
        <v>35</v>
      </c>
      <c r="O235" s="66">
        <f t="shared" si="55"/>
        <v>0</v>
      </c>
      <c r="P235" s="66">
        <f t="shared" si="55"/>
        <v>0</v>
      </c>
      <c r="Q235" s="66">
        <f t="shared" si="55"/>
        <v>0</v>
      </c>
      <c r="R235" s="61">
        <f t="shared" si="55"/>
        <v>35</v>
      </c>
      <c r="S235" s="68">
        <f t="shared" si="46"/>
        <v>43</v>
      </c>
    </row>
    <row r="236" spans="1:19" hidden="1" x14ac:dyDescent="0.35">
      <c r="A236" s="59" t="s">
        <v>316</v>
      </c>
      <c r="B236" s="54">
        <v>30</v>
      </c>
      <c r="C236" s="60" t="s">
        <v>225</v>
      </c>
      <c r="D236" s="60"/>
      <c r="E236" s="60"/>
      <c r="F236" s="60"/>
      <c r="G236" s="60"/>
      <c r="H236" s="61">
        <f>SUM(D236:G236)</f>
        <v>0</v>
      </c>
      <c r="I236" s="60"/>
      <c r="J236" s="60"/>
      <c r="K236" s="60"/>
      <c r="L236" s="60"/>
      <c r="M236" s="61">
        <f>SUM(I236:L236)</f>
        <v>0</v>
      </c>
      <c r="N236" s="60"/>
      <c r="O236" s="60"/>
      <c r="P236" s="60"/>
      <c r="Q236" s="60"/>
      <c r="R236" s="61">
        <f>SUM(N236:Q236)</f>
        <v>0</v>
      </c>
      <c r="S236" s="68">
        <f t="shared" si="46"/>
        <v>0</v>
      </c>
    </row>
    <row r="237" spans="1:19" hidden="1" x14ac:dyDescent="0.35">
      <c r="A237" s="111" t="s">
        <v>263</v>
      </c>
      <c r="B237" s="54"/>
      <c r="C237" s="63" t="s">
        <v>227</v>
      </c>
      <c r="D237" s="63"/>
      <c r="E237" s="63"/>
      <c r="F237" s="63"/>
      <c r="G237" s="63"/>
      <c r="H237" s="61">
        <f>SUM(D237:G237)</f>
        <v>0</v>
      </c>
      <c r="I237" s="63"/>
      <c r="J237" s="63"/>
      <c r="K237" s="63"/>
      <c r="L237" s="63"/>
      <c r="M237" s="61">
        <f>SUM(I237:L237)</f>
        <v>0</v>
      </c>
      <c r="N237" s="63"/>
      <c r="O237" s="63"/>
      <c r="P237" s="63"/>
      <c r="Q237" s="63"/>
      <c r="R237" s="61">
        <f>SUM(N237:Q237)</f>
        <v>0</v>
      </c>
      <c r="S237" s="68">
        <f t="shared" si="46"/>
        <v>0</v>
      </c>
    </row>
    <row r="238" spans="1:19" hidden="1" x14ac:dyDescent="0.35">
      <c r="A238" s="111"/>
      <c r="B238" s="54"/>
      <c r="C238" s="60" t="s">
        <v>228</v>
      </c>
      <c r="D238" s="60"/>
      <c r="E238" s="60"/>
      <c r="F238" s="60"/>
      <c r="G238" s="60"/>
      <c r="H238" s="61">
        <f>SUM(D238:G238)</f>
        <v>0</v>
      </c>
      <c r="I238" s="60"/>
      <c r="J238" s="60"/>
      <c r="K238" s="60"/>
      <c r="L238" s="60"/>
      <c r="M238" s="61">
        <f>SUM(I238:L238)</f>
        <v>0</v>
      </c>
      <c r="N238" s="60"/>
      <c r="O238" s="60"/>
      <c r="P238" s="60"/>
      <c r="Q238" s="60"/>
      <c r="R238" s="61">
        <f>SUM(N238:Q238)</f>
        <v>0</v>
      </c>
      <c r="S238" s="68">
        <f t="shared" si="46"/>
        <v>0</v>
      </c>
    </row>
    <row r="239" spans="1:19" hidden="1" x14ac:dyDescent="0.35">
      <c r="A239" s="111"/>
      <c r="B239" s="54"/>
      <c r="C239" s="63" t="s">
        <v>235</v>
      </c>
      <c r="D239" s="63"/>
      <c r="E239" s="63"/>
      <c r="F239" s="63"/>
      <c r="G239" s="63"/>
      <c r="H239" s="61">
        <f>SUM(D239:G239)</f>
        <v>0</v>
      </c>
      <c r="I239" s="63"/>
      <c r="J239" s="63"/>
      <c r="K239" s="63"/>
      <c r="L239" s="63"/>
      <c r="M239" s="61">
        <f>SUM(I239:L239)</f>
        <v>0</v>
      </c>
      <c r="N239" s="63"/>
      <c r="O239" s="63"/>
      <c r="P239" s="63"/>
      <c r="Q239" s="63"/>
      <c r="R239" s="61">
        <f>SUM(N239:Q239)</f>
        <v>0</v>
      </c>
      <c r="S239" s="68">
        <f t="shared" si="46"/>
        <v>0</v>
      </c>
    </row>
    <row r="240" spans="1:19" x14ac:dyDescent="0.35">
      <c r="A240" s="66" t="s">
        <v>316</v>
      </c>
      <c r="B240" s="67">
        <v>30</v>
      </c>
      <c r="C240" s="66"/>
      <c r="D240" s="66">
        <f t="shared" ref="D240:R240" si="56">SUM(D236:D239)</f>
        <v>0</v>
      </c>
      <c r="E240" s="66">
        <f t="shared" si="56"/>
        <v>0</v>
      </c>
      <c r="F240" s="66">
        <f t="shared" si="56"/>
        <v>0</v>
      </c>
      <c r="G240" s="66">
        <f t="shared" si="56"/>
        <v>0</v>
      </c>
      <c r="H240" s="61">
        <f t="shared" si="56"/>
        <v>0</v>
      </c>
      <c r="I240" s="66">
        <f t="shared" si="56"/>
        <v>0</v>
      </c>
      <c r="J240" s="66">
        <f t="shared" si="56"/>
        <v>0</v>
      </c>
      <c r="K240" s="66">
        <f t="shared" si="56"/>
        <v>0</v>
      </c>
      <c r="L240" s="66">
        <f t="shared" si="56"/>
        <v>0</v>
      </c>
      <c r="M240" s="61">
        <f t="shared" si="56"/>
        <v>0</v>
      </c>
      <c r="N240" s="66">
        <f t="shared" si="56"/>
        <v>0</v>
      </c>
      <c r="O240" s="66">
        <f t="shared" si="56"/>
        <v>0</v>
      </c>
      <c r="P240" s="66">
        <f t="shared" si="56"/>
        <v>0</v>
      </c>
      <c r="Q240" s="66">
        <f t="shared" si="56"/>
        <v>0</v>
      </c>
      <c r="R240" s="61">
        <f t="shared" si="56"/>
        <v>0</v>
      </c>
      <c r="S240" s="68">
        <f t="shared" si="46"/>
        <v>0</v>
      </c>
    </row>
    <row r="241" spans="1:19" hidden="1" x14ac:dyDescent="0.35">
      <c r="A241" s="59" t="s">
        <v>317</v>
      </c>
      <c r="B241" s="54">
        <v>24</v>
      </c>
      <c r="C241" s="60" t="s">
        <v>225</v>
      </c>
      <c r="D241" s="60">
        <v>1</v>
      </c>
      <c r="E241" s="60"/>
      <c r="F241" s="60"/>
      <c r="G241" s="60"/>
      <c r="H241" s="61">
        <f>SUM(D241:G241)</f>
        <v>1</v>
      </c>
      <c r="I241" s="60"/>
      <c r="J241" s="60"/>
      <c r="K241" s="60"/>
      <c r="L241" s="60"/>
      <c r="M241" s="61">
        <f>SUM(I241:L241)</f>
        <v>0</v>
      </c>
      <c r="N241" s="60"/>
      <c r="O241" s="60"/>
      <c r="P241" s="60"/>
      <c r="Q241" s="60"/>
      <c r="R241" s="61">
        <f>SUM(N241:Q241)</f>
        <v>0</v>
      </c>
      <c r="S241" s="68">
        <f t="shared" si="46"/>
        <v>1</v>
      </c>
    </row>
    <row r="242" spans="1:19" hidden="1" x14ac:dyDescent="0.35">
      <c r="A242" s="111" t="s">
        <v>318</v>
      </c>
      <c r="B242" s="54"/>
      <c r="C242" s="63" t="s">
        <v>227</v>
      </c>
      <c r="D242" s="63"/>
      <c r="E242" s="63"/>
      <c r="F242" s="63"/>
      <c r="G242" s="63"/>
      <c r="H242" s="61">
        <f>SUM(D242:G242)</f>
        <v>0</v>
      </c>
      <c r="I242" s="63"/>
      <c r="J242" s="63"/>
      <c r="K242" s="63"/>
      <c r="L242" s="63"/>
      <c r="M242" s="61">
        <f>SUM(I242:L242)</f>
        <v>0</v>
      </c>
      <c r="N242" s="63">
        <v>1</v>
      </c>
      <c r="O242" s="63"/>
      <c r="P242" s="63"/>
      <c r="Q242" s="63"/>
      <c r="R242" s="61">
        <f>SUM(N242:Q242)</f>
        <v>1</v>
      </c>
      <c r="S242" s="68">
        <f t="shared" si="46"/>
        <v>1</v>
      </c>
    </row>
    <row r="243" spans="1:19" hidden="1" x14ac:dyDescent="0.35">
      <c r="A243" s="111"/>
      <c r="B243" s="54"/>
      <c r="C243" s="60" t="s">
        <v>228</v>
      </c>
      <c r="D243" s="60"/>
      <c r="E243" s="60"/>
      <c r="F243" s="60"/>
      <c r="G243" s="60"/>
      <c r="H243" s="61">
        <f>SUM(D243:G243)</f>
        <v>0</v>
      </c>
      <c r="I243" s="60"/>
      <c r="J243" s="60"/>
      <c r="K243" s="60"/>
      <c r="L243" s="60"/>
      <c r="M243" s="61">
        <f>SUM(I243:L243)</f>
        <v>0</v>
      </c>
      <c r="N243" s="60">
        <v>2</v>
      </c>
      <c r="O243" s="60"/>
      <c r="P243" s="60"/>
      <c r="Q243" s="60"/>
      <c r="R243" s="61">
        <f>SUM(N243:Q243)</f>
        <v>2</v>
      </c>
      <c r="S243" s="68">
        <f t="shared" si="46"/>
        <v>2</v>
      </c>
    </row>
    <row r="244" spans="1:19" hidden="1" x14ac:dyDescent="0.35">
      <c r="A244" s="111"/>
      <c r="B244" s="54"/>
      <c r="C244" s="63" t="s">
        <v>235</v>
      </c>
      <c r="D244" s="63">
        <v>1</v>
      </c>
      <c r="E244" s="63"/>
      <c r="F244" s="63"/>
      <c r="G244" s="63"/>
      <c r="H244" s="61">
        <f>SUM(D244:G244)</f>
        <v>1</v>
      </c>
      <c r="I244" s="63"/>
      <c r="J244" s="63"/>
      <c r="K244" s="63"/>
      <c r="L244" s="63"/>
      <c r="M244" s="61">
        <f>SUM(I244:L244)</f>
        <v>0</v>
      </c>
      <c r="N244" s="63">
        <v>2</v>
      </c>
      <c r="O244" s="63"/>
      <c r="P244" s="63"/>
      <c r="Q244" s="63"/>
      <c r="R244" s="61">
        <f>SUM(N244:Q244)</f>
        <v>2</v>
      </c>
      <c r="S244" s="68">
        <f t="shared" si="46"/>
        <v>3</v>
      </c>
    </row>
    <row r="245" spans="1:19" x14ac:dyDescent="0.35">
      <c r="A245" s="66" t="s">
        <v>317</v>
      </c>
      <c r="B245" s="67">
        <v>24</v>
      </c>
      <c r="C245" s="66"/>
      <c r="D245" s="66">
        <f t="shared" ref="D245:R245" si="57">SUM(D241:D244)</f>
        <v>2</v>
      </c>
      <c r="E245" s="66">
        <f t="shared" si="57"/>
        <v>0</v>
      </c>
      <c r="F245" s="66">
        <f t="shared" si="57"/>
        <v>0</v>
      </c>
      <c r="G245" s="66">
        <f t="shared" si="57"/>
        <v>0</v>
      </c>
      <c r="H245" s="61">
        <f t="shared" si="57"/>
        <v>2</v>
      </c>
      <c r="I245" s="66">
        <f t="shared" si="57"/>
        <v>0</v>
      </c>
      <c r="J245" s="66">
        <f t="shared" si="57"/>
        <v>0</v>
      </c>
      <c r="K245" s="66">
        <f t="shared" si="57"/>
        <v>0</v>
      </c>
      <c r="L245" s="66">
        <f t="shared" si="57"/>
        <v>0</v>
      </c>
      <c r="M245" s="61">
        <f t="shared" si="57"/>
        <v>0</v>
      </c>
      <c r="N245" s="66">
        <f t="shared" si="57"/>
        <v>5</v>
      </c>
      <c r="O245" s="66">
        <f t="shared" si="57"/>
        <v>0</v>
      </c>
      <c r="P245" s="66">
        <f t="shared" si="57"/>
        <v>0</v>
      </c>
      <c r="Q245" s="66">
        <f t="shared" si="57"/>
        <v>0</v>
      </c>
      <c r="R245" s="61">
        <f t="shared" si="57"/>
        <v>5</v>
      </c>
      <c r="S245" s="68">
        <f t="shared" si="46"/>
        <v>7</v>
      </c>
    </row>
    <row r="246" spans="1:19" hidden="1" x14ac:dyDescent="0.35">
      <c r="A246" s="59" t="s">
        <v>319</v>
      </c>
      <c r="B246" s="54">
        <v>2</v>
      </c>
      <c r="C246" s="60" t="s">
        <v>225</v>
      </c>
      <c r="D246" s="60"/>
      <c r="E246" s="60"/>
      <c r="F246" s="60"/>
      <c r="G246" s="60"/>
      <c r="H246" s="61">
        <f>SUM(D246:G246)</f>
        <v>0</v>
      </c>
      <c r="I246" s="60"/>
      <c r="J246" s="60"/>
      <c r="K246" s="60"/>
      <c r="L246" s="60"/>
      <c r="M246" s="61">
        <f>SUM(I246:L246)</f>
        <v>0</v>
      </c>
      <c r="N246" s="60"/>
      <c r="O246" s="60"/>
      <c r="P246" s="60"/>
      <c r="Q246" s="60"/>
      <c r="R246" s="61">
        <f>SUM(N246:Q246)</f>
        <v>0</v>
      </c>
      <c r="S246" s="68">
        <f t="shared" si="46"/>
        <v>0</v>
      </c>
    </row>
    <row r="247" spans="1:19" hidden="1" x14ac:dyDescent="0.35">
      <c r="A247" s="111" t="s">
        <v>320</v>
      </c>
      <c r="B247" s="54"/>
      <c r="C247" s="63" t="s">
        <v>227</v>
      </c>
      <c r="D247" s="63"/>
      <c r="E247" s="63"/>
      <c r="F247" s="63"/>
      <c r="G247" s="63"/>
      <c r="H247" s="61">
        <f>SUM(D247:G247)</f>
        <v>0</v>
      </c>
      <c r="I247" s="63"/>
      <c r="J247" s="63"/>
      <c r="K247" s="63"/>
      <c r="L247" s="63"/>
      <c r="M247" s="61">
        <f>SUM(I247:L247)</f>
        <v>0</v>
      </c>
      <c r="N247" s="63"/>
      <c r="O247" s="63"/>
      <c r="P247" s="63"/>
      <c r="Q247" s="63"/>
      <c r="R247" s="61">
        <f>SUM(N247:Q247)</f>
        <v>0</v>
      </c>
      <c r="S247" s="68">
        <f t="shared" si="46"/>
        <v>0</v>
      </c>
    </row>
    <row r="248" spans="1:19" hidden="1" x14ac:dyDescent="0.35">
      <c r="A248" s="111"/>
      <c r="B248" s="54"/>
      <c r="C248" s="60" t="s">
        <v>228</v>
      </c>
      <c r="D248" s="60"/>
      <c r="E248" s="60"/>
      <c r="F248" s="60"/>
      <c r="G248" s="60"/>
      <c r="H248" s="61">
        <f>SUM(D248:G248)</f>
        <v>0</v>
      </c>
      <c r="I248" s="60"/>
      <c r="J248" s="60"/>
      <c r="K248" s="60"/>
      <c r="L248" s="60"/>
      <c r="M248" s="61">
        <f>SUM(I248:L248)</f>
        <v>0</v>
      </c>
      <c r="N248" s="60"/>
      <c r="O248" s="60"/>
      <c r="P248" s="60"/>
      <c r="Q248" s="60"/>
      <c r="R248" s="61">
        <f>SUM(N248:Q248)</f>
        <v>0</v>
      </c>
      <c r="S248" s="68">
        <f t="shared" si="46"/>
        <v>0</v>
      </c>
    </row>
    <row r="249" spans="1:19" hidden="1" x14ac:dyDescent="0.35">
      <c r="A249" s="111"/>
      <c r="B249" s="54"/>
      <c r="C249" s="63" t="s">
        <v>235</v>
      </c>
      <c r="D249" s="63"/>
      <c r="E249" s="63"/>
      <c r="F249" s="63"/>
      <c r="G249" s="63"/>
      <c r="H249" s="61">
        <f>SUM(D249:G249)</f>
        <v>0</v>
      </c>
      <c r="I249" s="63"/>
      <c r="J249" s="63"/>
      <c r="K249" s="63"/>
      <c r="L249" s="63"/>
      <c r="M249" s="61">
        <f>SUM(I249:L249)</f>
        <v>0</v>
      </c>
      <c r="N249" s="63"/>
      <c r="O249" s="63"/>
      <c r="P249" s="63"/>
      <c r="Q249" s="63"/>
      <c r="R249" s="61">
        <f>SUM(N249:Q249)</f>
        <v>0</v>
      </c>
      <c r="S249" s="68">
        <f t="shared" si="46"/>
        <v>0</v>
      </c>
    </row>
    <row r="250" spans="1:19" x14ac:dyDescent="0.35">
      <c r="A250" s="66" t="s">
        <v>319</v>
      </c>
      <c r="B250" s="67">
        <v>2</v>
      </c>
      <c r="C250" s="66"/>
      <c r="D250" s="66">
        <f t="shared" ref="D250:R250" si="58">SUM(D246:D249)</f>
        <v>0</v>
      </c>
      <c r="E250" s="66">
        <f t="shared" si="58"/>
        <v>0</v>
      </c>
      <c r="F250" s="66">
        <f t="shared" si="58"/>
        <v>0</v>
      </c>
      <c r="G250" s="66">
        <f t="shared" si="58"/>
        <v>0</v>
      </c>
      <c r="H250" s="61">
        <f t="shared" si="58"/>
        <v>0</v>
      </c>
      <c r="I250" s="66">
        <f t="shared" si="58"/>
        <v>0</v>
      </c>
      <c r="J250" s="66">
        <f t="shared" si="58"/>
        <v>0</v>
      </c>
      <c r="K250" s="66">
        <f t="shared" si="58"/>
        <v>0</v>
      </c>
      <c r="L250" s="66">
        <f t="shared" si="58"/>
        <v>0</v>
      </c>
      <c r="M250" s="61">
        <f t="shared" si="58"/>
        <v>0</v>
      </c>
      <c r="N250" s="66">
        <f t="shared" si="58"/>
        <v>0</v>
      </c>
      <c r="O250" s="66">
        <f t="shared" si="58"/>
        <v>0</v>
      </c>
      <c r="P250" s="66">
        <f t="shared" si="58"/>
        <v>0</v>
      </c>
      <c r="Q250" s="66">
        <f t="shared" si="58"/>
        <v>0</v>
      </c>
      <c r="R250" s="61">
        <f t="shared" si="58"/>
        <v>0</v>
      </c>
      <c r="S250" s="68">
        <f t="shared" si="46"/>
        <v>0</v>
      </c>
    </row>
    <row r="251" spans="1:19" hidden="1" x14ac:dyDescent="0.35">
      <c r="A251" s="59" t="s">
        <v>321</v>
      </c>
      <c r="B251" s="54" t="s">
        <v>322</v>
      </c>
      <c r="C251" s="60" t="s">
        <v>225</v>
      </c>
      <c r="D251" s="60"/>
      <c r="E251" s="60"/>
      <c r="F251" s="60"/>
      <c r="G251" s="60"/>
      <c r="H251" s="61">
        <f>SUM(D251:G251)</f>
        <v>0</v>
      </c>
      <c r="I251" s="60"/>
      <c r="J251" s="60"/>
      <c r="K251" s="60"/>
      <c r="L251" s="60"/>
      <c r="M251" s="61">
        <f>SUM(I251:L251)</f>
        <v>0</v>
      </c>
      <c r="N251" s="60">
        <v>2</v>
      </c>
      <c r="O251" s="60"/>
      <c r="P251" s="60"/>
      <c r="Q251" s="60"/>
      <c r="R251" s="61">
        <f>SUM(N251:Q251)</f>
        <v>2</v>
      </c>
      <c r="S251" s="68">
        <f t="shared" si="46"/>
        <v>2</v>
      </c>
    </row>
    <row r="252" spans="1:19" hidden="1" x14ac:dyDescent="0.35">
      <c r="A252" s="111" t="s">
        <v>323</v>
      </c>
      <c r="B252" s="54"/>
      <c r="C252" s="63" t="s">
        <v>227</v>
      </c>
      <c r="D252" s="63"/>
      <c r="E252" s="63"/>
      <c r="F252" s="63"/>
      <c r="G252" s="63"/>
      <c r="H252" s="61">
        <f>SUM(D252:G252)</f>
        <v>0</v>
      </c>
      <c r="I252" s="63"/>
      <c r="J252" s="63"/>
      <c r="K252" s="63"/>
      <c r="L252" s="63"/>
      <c r="M252" s="61">
        <f>SUM(I252:L252)</f>
        <v>0</v>
      </c>
      <c r="N252" s="63">
        <v>5</v>
      </c>
      <c r="O252" s="63"/>
      <c r="P252" s="63"/>
      <c r="Q252" s="63"/>
      <c r="R252" s="61">
        <f>SUM(N252:Q252)</f>
        <v>5</v>
      </c>
      <c r="S252" s="68">
        <f t="shared" si="46"/>
        <v>5</v>
      </c>
    </row>
    <row r="253" spans="1:19" hidden="1" x14ac:dyDescent="0.35">
      <c r="A253" s="111"/>
      <c r="B253" s="54"/>
      <c r="C253" s="60" t="s">
        <v>228</v>
      </c>
      <c r="D253" s="60">
        <v>1</v>
      </c>
      <c r="E253" s="60"/>
      <c r="F253" s="60"/>
      <c r="G253" s="60"/>
      <c r="H253" s="61">
        <f>SUM(D253:G253)</f>
        <v>1</v>
      </c>
      <c r="I253" s="60">
        <v>1</v>
      </c>
      <c r="J253" s="60"/>
      <c r="K253" s="60"/>
      <c r="L253" s="60"/>
      <c r="M253" s="61">
        <f>SUM(I253:L253)</f>
        <v>1</v>
      </c>
      <c r="N253" s="60">
        <v>6</v>
      </c>
      <c r="O253" s="60"/>
      <c r="P253" s="60"/>
      <c r="Q253" s="60"/>
      <c r="R253" s="61">
        <f>SUM(N253:Q253)</f>
        <v>6</v>
      </c>
      <c r="S253" s="68">
        <f t="shared" si="46"/>
        <v>8</v>
      </c>
    </row>
    <row r="254" spans="1:19" hidden="1" x14ac:dyDescent="0.35">
      <c r="A254" s="111"/>
      <c r="B254" s="54"/>
      <c r="C254" s="63" t="s">
        <v>235</v>
      </c>
      <c r="D254" s="63">
        <v>3</v>
      </c>
      <c r="E254" s="63"/>
      <c r="F254" s="63"/>
      <c r="G254" s="63"/>
      <c r="H254" s="61">
        <f>SUM(D254:G254)</f>
        <v>3</v>
      </c>
      <c r="I254" s="63">
        <v>2</v>
      </c>
      <c r="J254" s="63"/>
      <c r="K254" s="63"/>
      <c r="L254" s="63"/>
      <c r="M254" s="61">
        <f>SUM(I254:L254)</f>
        <v>2</v>
      </c>
      <c r="N254" s="63">
        <v>3</v>
      </c>
      <c r="O254" s="63"/>
      <c r="P254" s="63"/>
      <c r="Q254" s="63"/>
      <c r="R254" s="61">
        <f>SUM(N254:Q254)</f>
        <v>3</v>
      </c>
      <c r="S254" s="68">
        <f t="shared" si="46"/>
        <v>8</v>
      </c>
    </row>
    <row r="255" spans="1:19" x14ac:dyDescent="0.35">
      <c r="A255" s="66" t="s">
        <v>321</v>
      </c>
      <c r="B255" s="67" t="s">
        <v>322</v>
      </c>
      <c r="C255" s="66"/>
      <c r="D255" s="66">
        <f t="shared" ref="D255:R255" si="59">SUM(D251:D254)</f>
        <v>4</v>
      </c>
      <c r="E255" s="66">
        <f t="shared" si="59"/>
        <v>0</v>
      </c>
      <c r="F255" s="66">
        <f t="shared" si="59"/>
        <v>0</v>
      </c>
      <c r="G255" s="66">
        <f t="shared" si="59"/>
        <v>0</v>
      </c>
      <c r="H255" s="61">
        <f t="shared" si="59"/>
        <v>4</v>
      </c>
      <c r="I255" s="66">
        <f t="shared" si="59"/>
        <v>3</v>
      </c>
      <c r="J255" s="66">
        <f t="shared" si="59"/>
        <v>0</v>
      </c>
      <c r="K255" s="66">
        <f t="shared" si="59"/>
        <v>0</v>
      </c>
      <c r="L255" s="66">
        <f t="shared" si="59"/>
        <v>0</v>
      </c>
      <c r="M255" s="61">
        <f t="shared" si="59"/>
        <v>3</v>
      </c>
      <c r="N255" s="66">
        <f t="shared" si="59"/>
        <v>16</v>
      </c>
      <c r="O255" s="66">
        <f t="shared" si="59"/>
        <v>0</v>
      </c>
      <c r="P255" s="66">
        <f t="shared" si="59"/>
        <v>0</v>
      </c>
      <c r="Q255" s="66">
        <f t="shared" si="59"/>
        <v>0</v>
      </c>
      <c r="R255" s="61">
        <f t="shared" si="59"/>
        <v>16</v>
      </c>
      <c r="S255" s="68">
        <f t="shared" si="46"/>
        <v>23</v>
      </c>
    </row>
    <row r="256" spans="1:19" hidden="1" x14ac:dyDescent="0.35">
      <c r="A256" s="59" t="s">
        <v>324</v>
      </c>
      <c r="B256" s="54">
        <v>26</v>
      </c>
      <c r="C256" s="60" t="s">
        <v>225</v>
      </c>
      <c r="D256" s="60">
        <v>4</v>
      </c>
      <c r="E256" s="60"/>
      <c r="F256" s="60"/>
      <c r="G256" s="60"/>
      <c r="H256" s="61">
        <f>SUM(D256:G256)</f>
        <v>4</v>
      </c>
      <c r="I256" s="60">
        <v>4</v>
      </c>
      <c r="J256" s="60"/>
      <c r="K256" s="60"/>
      <c r="L256" s="60"/>
      <c r="M256" s="61">
        <f>SUM(I256:L256)</f>
        <v>4</v>
      </c>
      <c r="N256" s="60">
        <v>12</v>
      </c>
      <c r="O256" s="60"/>
      <c r="P256" s="60"/>
      <c r="Q256" s="60"/>
      <c r="R256" s="61">
        <f>SUM(N256:Q256)</f>
        <v>12</v>
      </c>
      <c r="S256" s="68">
        <f t="shared" si="46"/>
        <v>20</v>
      </c>
    </row>
    <row r="257" spans="1:19" hidden="1" x14ac:dyDescent="0.35">
      <c r="A257" s="111" t="s">
        <v>267</v>
      </c>
      <c r="B257" s="54"/>
      <c r="C257" s="63" t="s">
        <v>227</v>
      </c>
      <c r="D257" s="63">
        <v>3</v>
      </c>
      <c r="E257" s="63"/>
      <c r="F257" s="63"/>
      <c r="G257" s="63"/>
      <c r="H257" s="61">
        <f>SUM(D257:G257)</f>
        <v>3</v>
      </c>
      <c r="I257" s="63">
        <v>6</v>
      </c>
      <c r="J257" s="63"/>
      <c r="K257" s="63"/>
      <c r="L257" s="63"/>
      <c r="M257" s="61">
        <f>SUM(I257:L257)</f>
        <v>6</v>
      </c>
      <c r="N257" s="63">
        <v>12</v>
      </c>
      <c r="O257" s="63"/>
      <c r="P257" s="63"/>
      <c r="Q257" s="63"/>
      <c r="R257" s="61">
        <f>SUM(N257:Q257)</f>
        <v>12</v>
      </c>
      <c r="S257" s="68">
        <f t="shared" si="46"/>
        <v>21</v>
      </c>
    </row>
    <row r="258" spans="1:19" hidden="1" x14ac:dyDescent="0.35">
      <c r="A258" s="111"/>
      <c r="B258" s="54"/>
      <c r="C258" s="60" t="s">
        <v>228</v>
      </c>
      <c r="D258" s="60">
        <v>3</v>
      </c>
      <c r="E258" s="60"/>
      <c r="F258" s="60"/>
      <c r="G258" s="60"/>
      <c r="H258" s="61">
        <f>SUM(D258:G258)</f>
        <v>3</v>
      </c>
      <c r="I258" s="60">
        <v>2</v>
      </c>
      <c r="J258" s="60"/>
      <c r="K258" s="60"/>
      <c r="L258" s="60"/>
      <c r="M258" s="61">
        <f>SUM(I258:L258)</f>
        <v>2</v>
      </c>
      <c r="N258" s="60">
        <v>11</v>
      </c>
      <c r="O258" s="60"/>
      <c r="P258" s="60"/>
      <c r="Q258" s="60"/>
      <c r="R258" s="61">
        <f>SUM(N258:Q258)</f>
        <v>11</v>
      </c>
      <c r="S258" s="68">
        <f t="shared" si="46"/>
        <v>16</v>
      </c>
    </row>
    <row r="259" spans="1:19" hidden="1" x14ac:dyDescent="0.35">
      <c r="A259" s="111"/>
      <c r="B259" s="54"/>
      <c r="C259" s="63" t="s">
        <v>235</v>
      </c>
      <c r="D259" s="63">
        <v>2</v>
      </c>
      <c r="E259" s="63"/>
      <c r="F259" s="63"/>
      <c r="G259" s="63"/>
      <c r="H259" s="61">
        <f>SUM(D259:G259)</f>
        <v>2</v>
      </c>
      <c r="I259" s="63">
        <v>6</v>
      </c>
      <c r="J259" s="63"/>
      <c r="K259" s="63"/>
      <c r="L259" s="63"/>
      <c r="M259" s="61">
        <f>SUM(I259:L259)</f>
        <v>6</v>
      </c>
      <c r="N259" s="63">
        <v>11</v>
      </c>
      <c r="O259" s="63"/>
      <c r="P259" s="63"/>
      <c r="Q259" s="63"/>
      <c r="R259" s="61">
        <f>SUM(N259:Q259)</f>
        <v>11</v>
      </c>
      <c r="S259" s="68">
        <f t="shared" si="46"/>
        <v>19</v>
      </c>
    </row>
    <row r="260" spans="1:19" hidden="1" x14ac:dyDescent="0.35">
      <c r="A260" s="66" t="s">
        <v>397</v>
      </c>
      <c r="B260" s="67"/>
      <c r="C260" s="66"/>
      <c r="D260" s="66">
        <f t="shared" ref="D260:R260" si="60">SUM(D256:D259)</f>
        <v>12</v>
      </c>
      <c r="E260" s="66">
        <f t="shared" si="60"/>
        <v>0</v>
      </c>
      <c r="F260" s="66">
        <f t="shared" si="60"/>
        <v>0</v>
      </c>
      <c r="G260" s="66">
        <f t="shared" si="60"/>
        <v>0</v>
      </c>
      <c r="H260" s="61">
        <f t="shared" si="60"/>
        <v>12</v>
      </c>
      <c r="I260" s="66">
        <f t="shared" si="60"/>
        <v>18</v>
      </c>
      <c r="J260" s="66">
        <f t="shared" si="60"/>
        <v>0</v>
      </c>
      <c r="K260" s="66">
        <f t="shared" si="60"/>
        <v>0</v>
      </c>
      <c r="L260" s="66">
        <f t="shared" si="60"/>
        <v>0</v>
      </c>
      <c r="M260" s="61">
        <f t="shared" si="60"/>
        <v>18</v>
      </c>
      <c r="N260" s="66">
        <f t="shared" si="60"/>
        <v>46</v>
      </c>
      <c r="O260" s="66">
        <f t="shared" si="60"/>
        <v>0</v>
      </c>
      <c r="P260" s="66">
        <f t="shared" si="60"/>
        <v>0</v>
      </c>
      <c r="Q260" s="66">
        <f t="shared" si="60"/>
        <v>0</v>
      </c>
      <c r="R260" s="61">
        <f t="shared" si="60"/>
        <v>46</v>
      </c>
      <c r="S260" s="68">
        <f t="shared" si="46"/>
        <v>76</v>
      </c>
    </row>
    <row r="261" spans="1:19" hidden="1" x14ac:dyDescent="0.35">
      <c r="A261" s="111" t="s">
        <v>325</v>
      </c>
      <c r="B261" s="54"/>
      <c r="C261" s="60" t="s">
        <v>225</v>
      </c>
      <c r="D261" s="60">
        <v>43</v>
      </c>
      <c r="E261" s="60">
        <v>2</v>
      </c>
      <c r="F261" s="60">
        <v>4</v>
      </c>
      <c r="G261" s="60"/>
      <c r="H261" s="61">
        <f>SUM(D261:G261)</f>
        <v>49</v>
      </c>
      <c r="I261" s="60">
        <v>91</v>
      </c>
      <c r="J261" s="60">
        <v>4</v>
      </c>
      <c r="K261" s="60">
        <v>2</v>
      </c>
      <c r="L261" s="60"/>
      <c r="M261" s="61">
        <f>SUM(I261:L261)</f>
        <v>97</v>
      </c>
      <c r="N261" s="60">
        <v>218</v>
      </c>
      <c r="O261" s="60">
        <v>31</v>
      </c>
      <c r="P261" s="60">
        <v>23</v>
      </c>
      <c r="Q261" s="60">
        <v>2</v>
      </c>
      <c r="R261" s="61">
        <f>SUM(N261:Q261)</f>
        <v>274</v>
      </c>
      <c r="S261" s="68">
        <f t="shared" ref="S261:S324" si="61">SUM(H261,M261,R261)</f>
        <v>420</v>
      </c>
    </row>
    <row r="262" spans="1:19" hidden="1" x14ac:dyDescent="0.35">
      <c r="A262" s="111"/>
      <c r="B262" s="54"/>
      <c r="C262" s="63" t="s">
        <v>227</v>
      </c>
      <c r="D262" s="63">
        <v>34</v>
      </c>
      <c r="E262" s="63">
        <v>6</v>
      </c>
      <c r="F262" s="63">
        <v>3</v>
      </c>
      <c r="G262" s="63">
        <v>1</v>
      </c>
      <c r="H262" s="61">
        <f>SUM(D262:G262)</f>
        <v>44</v>
      </c>
      <c r="I262" s="63">
        <v>62</v>
      </c>
      <c r="J262" s="63">
        <v>1</v>
      </c>
      <c r="K262" s="63">
        <v>3</v>
      </c>
      <c r="L262" s="63"/>
      <c r="M262" s="61">
        <f>SUM(I262:L262)</f>
        <v>66</v>
      </c>
      <c r="N262" s="63">
        <v>225</v>
      </c>
      <c r="O262" s="63">
        <v>30</v>
      </c>
      <c r="P262" s="63">
        <v>27</v>
      </c>
      <c r="Q262" s="63">
        <v>1</v>
      </c>
      <c r="R262" s="61">
        <f>SUM(N262:Q262)</f>
        <v>283</v>
      </c>
      <c r="S262" s="68">
        <f t="shared" si="61"/>
        <v>393</v>
      </c>
    </row>
    <row r="263" spans="1:19" hidden="1" x14ac:dyDescent="0.35">
      <c r="A263" s="111"/>
      <c r="B263" s="54"/>
      <c r="C263" s="60" t="s">
        <v>228</v>
      </c>
      <c r="D263" s="60">
        <v>30</v>
      </c>
      <c r="E263" s="60">
        <v>1</v>
      </c>
      <c r="F263" s="60">
        <v>2</v>
      </c>
      <c r="G263" s="60"/>
      <c r="H263" s="61">
        <f>SUM(D263:G263)</f>
        <v>33</v>
      </c>
      <c r="I263" s="60">
        <v>51</v>
      </c>
      <c r="J263" s="60">
        <v>6</v>
      </c>
      <c r="K263" s="60">
        <v>5</v>
      </c>
      <c r="L263" s="60">
        <v>2</v>
      </c>
      <c r="M263" s="61">
        <f>SUM(I263:L263)</f>
        <v>64</v>
      </c>
      <c r="N263" s="60">
        <v>231</v>
      </c>
      <c r="O263" s="60">
        <v>33</v>
      </c>
      <c r="P263" s="60">
        <v>31</v>
      </c>
      <c r="Q263" s="60">
        <v>1</v>
      </c>
      <c r="R263" s="61">
        <f>SUM(N263:Q263)</f>
        <v>296</v>
      </c>
      <c r="S263" s="68">
        <f t="shared" si="61"/>
        <v>393</v>
      </c>
    </row>
    <row r="264" spans="1:19" hidden="1" x14ac:dyDescent="0.35">
      <c r="A264" s="111"/>
      <c r="B264" s="54"/>
      <c r="C264" s="63" t="s">
        <v>235</v>
      </c>
      <c r="D264" s="63">
        <v>40</v>
      </c>
      <c r="E264" s="63">
        <v>2</v>
      </c>
      <c r="F264" s="63">
        <v>5</v>
      </c>
      <c r="G264" s="63"/>
      <c r="H264" s="61">
        <f>SUM(D264:G264)</f>
        <v>47</v>
      </c>
      <c r="I264" s="63">
        <v>65</v>
      </c>
      <c r="J264" s="63">
        <v>5</v>
      </c>
      <c r="K264" s="63">
        <v>7</v>
      </c>
      <c r="L264" s="63"/>
      <c r="M264" s="61">
        <f>SUM(I264:L264)</f>
        <v>77</v>
      </c>
      <c r="N264" s="63">
        <v>237</v>
      </c>
      <c r="O264" s="63">
        <v>35</v>
      </c>
      <c r="P264" s="63">
        <v>32</v>
      </c>
      <c r="Q264" s="63">
        <v>2</v>
      </c>
      <c r="R264" s="61">
        <f>SUM(N264:Q264)</f>
        <v>306</v>
      </c>
      <c r="S264" s="68">
        <f t="shared" si="61"/>
        <v>430</v>
      </c>
    </row>
    <row r="265" spans="1:19" hidden="1" x14ac:dyDescent="0.35">
      <c r="A265" s="76" t="s">
        <v>326</v>
      </c>
      <c r="B265" s="67"/>
      <c r="C265" s="66"/>
      <c r="D265" s="66">
        <f t="shared" ref="D265:R265" si="62">SUM(D261:D264)</f>
        <v>147</v>
      </c>
      <c r="E265" s="66">
        <f t="shared" si="62"/>
        <v>11</v>
      </c>
      <c r="F265" s="66">
        <f t="shared" si="62"/>
        <v>14</v>
      </c>
      <c r="G265" s="66">
        <f t="shared" si="62"/>
        <v>1</v>
      </c>
      <c r="H265" s="61">
        <f t="shared" si="62"/>
        <v>173</v>
      </c>
      <c r="I265" s="66">
        <f t="shared" si="62"/>
        <v>269</v>
      </c>
      <c r="J265" s="66">
        <f t="shared" si="62"/>
        <v>16</v>
      </c>
      <c r="K265" s="66">
        <f t="shared" si="62"/>
        <v>17</v>
      </c>
      <c r="L265" s="66">
        <f t="shared" si="62"/>
        <v>2</v>
      </c>
      <c r="M265" s="61">
        <f t="shared" si="62"/>
        <v>304</v>
      </c>
      <c r="N265" s="66">
        <f t="shared" si="62"/>
        <v>911</v>
      </c>
      <c r="O265" s="66">
        <f t="shared" si="62"/>
        <v>129</v>
      </c>
      <c r="P265" s="66">
        <f t="shared" si="62"/>
        <v>113</v>
      </c>
      <c r="Q265" s="66">
        <f t="shared" si="62"/>
        <v>6</v>
      </c>
      <c r="R265" s="61">
        <f t="shared" si="62"/>
        <v>1159</v>
      </c>
      <c r="S265" s="68">
        <f t="shared" si="61"/>
        <v>1636</v>
      </c>
    </row>
    <row r="266" spans="1:19" x14ac:dyDescent="0.35">
      <c r="A266" s="66" t="s">
        <v>324</v>
      </c>
      <c r="B266" s="67">
        <v>26</v>
      </c>
      <c r="C266" s="66"/>
      <c r="D266" s="66">
        <f t="shared" ref="D266:R266" si="63">SUM(D265,D260)</f>
        <v>159</v>
      </c>
      <c r="E266" s="66">
        <f t="shared" si="63"/>
        <v>11</v>
      </c>
      <c r="F266" s="66">
        <f t="shared" si="63"/>
        <v>14</v>
      </c>
      <c r="G266" s="66">
        <f t="shared" si="63"/>
        <v>1</v>
      </c>
      <c r="H266" s="61">
        <f t="shared" si="63"/>
        <v>185</v>
      </c>
      <c r="I266" s="66">
        <f t="shared" si="63"/>
        <v>287</v>
      </c>
      <c r="J266" s="66">
        <f t="shared" si="63"/>
        <v>16</v>
      </c>
      <c r="K266" s="66">
        <f t="shared" si="63"/>
        <v>17</v>
      </c>
      <c r="L266" s="66">
        <f t="shared" si="63"/>
        <v>2</v>
      </c>
      <c r="M266" s="61">
        <f t="shared" si="63"/>
        <v>322</v>
      </c>
      <c r="N266" s="66">
        <f t="shared" si="63"/>
        <v>957</v>
      </c>
      <c r="O266" s="66">
        <f t="shared" si="63"/>
        <v>129</v>
      </c>
      <c r="P266" s="66">
        <f t="shared" si="63"/>
        <v>113</v>
      </c>
      <c r="Q266" s="66">
        <f t="shared" si="63"/>
        <v>6</v>
      </c>
      <c r="R266" s="61">
        <f t="shared" si="63"/>
        <v>1205</v>
      </c>
      <c r="S266" s="68">
        <f t="shared" si="61"/>
        <v>1712</v>
      </c>
    </row>
    <row r="267" spans="1:19" hidden="1" x14ac:dyDescent="0.35">
      <c r="A267" s="59" t="s">
        <v>327</v>
      </c>
      <c r="B267" s="54">
        <v>24</v>
      </c>
      <c r="C267" s="60" t="s">
        <v>225</v>
      </c>
      <c r="D267" s="60"/>
      <c r="E267" s="60"/>
      <c r="F267" s="60"/>
      <c r="G267" s="60"/>
      <c r="H267" s="61">
        <f>SUM(D267:G267)</f>
        <v>0</v>
      </c>
      <c r="I267" s="60"/>
      <c r="J267" s="60"/>
      <c r="K267" s="60"/>
      <c r="L267" s="60"/>
      <c r="M267" s="61">
        <f>SUM(I267:L267)</f>
        <v>0</v>
      </c>
      <c r="N267" s="60">
        <v>2</v>
      </c>
      <c r="O267" s="60"/>
      <c r="P267" s="60"/>
      <c r="Q267" s="60"/>
      <c r="R267" s="61">
        <f>SUM(N267:Q267)</f>
        <v>2</v>
      </c>
      <c r="S267" s="68">
        <f t="shared" si="61"/>
        <v>2</v>
      </c>
    </row>
    <row r="268" spans="1:19" hidden="1" x14ac:dyDescent="0.35">
      <c r="A268" s="111" t="s">
        <v>318</v>
      </c>
      <c r="B268" s="54"/>
      <c r="C268" s="63" t="s">
        <v>227</v>
      </c>
      <c r="D268" s="63"/>
      <c r="E268" s="63"/>
      <c r="F268" s="63"/>
      <c r="G268" s="63"/>
      <c r="H268" s="61">
        <f>SUM(D268:G268)</f>
        <v>0</v>
      </c>
      <c r="I268" s="63">
        <v>1</v>
      </c>
      <c r="J268" s="63"/>
      <c r="K268" s="63"/>
      <c r="L268" s="63"/>
      <c r="M268" s="61">
        <f>SUM(I268:L268)</f>
        <v>1</v>
      </c>
      <c r="N268" s="63">
        <v>1</v>
      </c>
      <c r="O268" s="63"/>
      <c r="P268" s="63"/>
      <c r="Q268" s="63"/>
      <c r="R268" s="61">
        <f>SUM(N268:Q268)</f>
        <v>1</v>
      </c>
      <c r="S268" s="68">
        <f t="shared" si="61"/>
        <v>2</v>
      </c>
    </row>
    <row r="269" spans="1:19" hidden="1" x14ac:dyDescent="0.35">
      <c r="A269" s="111"/>
      <c r="B269" s="54"/>
      <c r="C269" s="60" t="s">
        <v>228</v>
      </c>
      <c r="D269" s="60"/>
      <c r="E269" s="60"/>
      <c r="F269" s="60"/>
      <c r="G269" s="60"/>
      <c r="H269" s="61">
        <f>SUM(D269:G269)</f>
        <v>0</v>
      </c>
      <c r="I269" s="60">
        <v>1</v>
      </c>
      <c r="J269" s="60"/>
      <c r="K269" s="60"/>
      <c r="L269" s="60"/>
      <c r="M269" s="61">
        <f>SUM(I269:L269)</f>
        <v>1</v>
      </c>
      <c r="N269" s="60">
        <v>2</v>
      </c>
      <c r="O269" s="60"/>
      <c r="P269" s="60"/>
      <c r="Q269" s="60"/>
      <c r="R269" s="61">
        <f>SUM(N269:Q269)</f>
        <v>2</v>
      </c>
      <c r="S269" s="68">
        <f t="shared" si="61"/>
        <v>3</v>
      </c>
    </row>
    <row r="270" spans="1:19" hidden="1" x14ac:dyDescent="0.35">
      <c r="A270" s="111"/>
      <c r="B270" s="54"/>
      <c r="C270" s="63" t="s">
        <v>235</v>
      </c>
      <c r="D270" s="63"/>
      <c r="E270" s="63"/>
      <c r="F270" s="63"/>
      <c r="G270" s="63"/>
      <c r="H270" s="61">
        <f>SUM(D270:G270)</f>
        <v>0</v>
      </c>
      <c r="I270" s="63"/>
      <c r="J270" s="63"/>
      <c r="K270" s="63"/>
      <c r="L270" s="63"/>
      <c r="M270" s="61">
        <f>SUM(I270:L270)</f>
        <v>0</v>
      </c>
      <c r="N270" s="63">
        <v>1</v>
      </c>
      <c r="O270" s="63"/>
      <c r="P270" s="63"/>
      <c r="Q270" s="63"/>
      <c r="R270" s="61">
        <f>SUM(N270:Q270)</f>
        <v>1</v>
      </c>
      <c r="S270" s="68">
        <f t="shared" si="61"/>
        <v>1</v>
      </c>
    </row>
    <row r="271" spans="1:19" hidden="1" x14ac:dyDescent="0.35">
      <c r="A271" s="66" t="s">
        <v>318</v>
      </c>
      <c r="B271" s="67"/>
      <c r="C271" s="66"/>
      <c r="D271" s="66">
        <f t="shared" ref="D271:R271" si="64">SUM(D267:D270)</f>
        <v>0</v>
      </c>
      <c r="E271" s="66">
        <f t="shared" si="64"/>
        <v>0</v>
      </c>
      <c r="F271" s="66">
        <f t="shared" si="64"/>
        <v>0</v>
      </c>
      <c r="G271" s="66">
        <f t="shared" si="64"/>
        <v>0</v>
      </c>
      <c r="H271" s="61">
        <f t="shared" si="64"/>
        <v>0</v>
      </c>
      <c r="I271" s="66">
        <f t="shared" si="64"/>
        <v>2</v>
      </c>
      <c r="J271" s="66">
        <f t="shared" si="64"/>
        <v>0</v>
      </c>
      <c r="K271" s="66">
        <f t="shared" si="64"/>
        <v>0</v>
      </c>
      <c r="L271" s="66">
        <f t="shared" si="64"/>
        <v>0</v>
      </c>
      <c r="M271" s="61">
        <f t="shared" si="64"/>
        <v>2</v>
      </c>
      <c r="N271" s="66">
        <f t="shared" si="64"/>
        <v>6</v>
      </c>
      <c r="O271" s="66">
        <f t="shared" si="64"/>
        <v>0</v>
      </c>
      <c r="P271" s="66">
        <f t="shared" si="64"/>
        <v>0</v>
      </c>
      <c r="Q271" s="66">
        <f t="shared" si="64"/>
        <v>0</v>
      </c>
      <c r="R271" s="61">
        <f t="shared" si="64"/>
        <v>6</v>
      </c>
      <c r="S271" s="68">
        <f t="shared" si="61"/>
        <v>8</v>
      </c>
    </row>
    <row r="272" spans="1:19" hidden="1" x14ac:dyDescent="0.35">
      <c r="A272" s="111" t="s">
        <v>323</v>
      </c>
      <c r="B272" s="54"/>
      <c r="C272" s="60" t="s">
        <v>225</v>
      </c>
      <c r="D272" s="60"/>
      <c r="E272" s="60"/>
      <c r="F272" s="60"/>
      <c r="G272" s="60"/>
      <c r="H272" s="61">
        <f>SUM(D272:G272)</f>
        <v>0</v>
      </c>
      <c r="I272" s="60"/>
      <c r="J272" s="60"/>
      <c r="K272" s="60"/>
      <c r="L272" s="60"/>
      <c r="M272" s="61">
        <f>SUM(I272:L272)</f>
        <v>0</v>
      </c>
      <c r="N272" s="60">
        <v>1</v>
      </c>
      <c r="O272" s="60"/>
      <c r="P272" s="60"/>
      <c r="Q272" s="60"/>
      <c r="R272" s="61">
        <f>SUM(N272:Q272)</f>
        <v>1</v>
      </c>
      <c r="S272" s="68">
        <f t="shared" si="61"/>
        <v>1</v>
      </c>
    </row>
    <row r="273" spans="1:19" hidden="1" x14ac:dyDescent="0.35">
      <c r="A273" s="111"/>
      <c r="B273" s="54"/>
      <c r="C273" s="63" t="s">
        <v>227</v>
      </c>
      <c r="D273" s="63">
        <v>1</v>
      </c>
      <c r="E273" s="63"/>
      <c r="F273" s="63"/>
      <c r="G273" s="63"/>
      <c r="H273" s="61">
        <f>SUM(D273:G273)</f>
        <v>1</v>
      </c>
      <c r="I273" s="63"/>
      <c r="J273" s="63"/>
      <c r="K273" s="63"/>
      <c r="L273" s="63"/>
      <c r="M273" s="61">
        <f>SUM(I273:L273)</f>
        <v>0</v>
      </c>
      <c r="N273" s="63">
        <v>2</v>
      </c>
      <c r="O273" s="63"/>
      <c r="P273" s="63"/>
      <c r="Q273" s="63"/>
      <c r="R273" s="61">
        <f>SUM(N273:Q273)</f>
        <v>2</v>
      </c>
      <c r="S273" s="68">
        <f t="shared" si="61"/>
        <v>3</v>
      </c>
    </row>
    <row r="274" spans="1:19" hidden="1" x14ac:dyDescent="0.35">
      <c r="A274" s="111"/>
      <c r="B274" s="54"/>
      <c r="C274" s="60" t="s">
        <v>228</v>
      </c>
      <c r="D274" s="60">
        <v>2</v>
      </c>
      <c r="E274" s="60"/>
      <c r="F274" s="60"/>
      <c r="G274" s="60"/>
      <c r="H274" s="61">
        <f>SUM(D274:G274)</f>
        <v>2</v>
      </c>
      <c r="I274" s="60"/>
      <c r="J274" s="60"/>
      <c r="K274" s="60"/>
      <c r="L274" s="60"/>
      <c r="M274" s="61">
        <f>SUM(I274:L274)</f>
        <v>0</v>
      </c>
      <c r="N274" s="60"/>
      <c r="O274" s="60"/>
      <c r="P274" s="60"/>
      <c r="Q274" s="60"/>
      <c r="R274" s="61">
        <f>SUM(N274:Q274)</f>
        <v>0</v>
      </c>
      <c r="S274" s="68">
        <f t="shared" si="61"/>
        <v>2</v>
      </c>
    </row>
    <row r="275" spans="1:19" hidden="1" x14ac:dyDescent="0.35">
      <c r="A275" s="111"/>
      <c r="B275" s="54"/>
      <c r="C275" s="63" t="s">
        <v>235</v>
      </c>
      <c r="D275" s="63"/>
      <c r="E275" s="63"/>
      <c r="F275" s="63"/>
      <c r="G275" s="63"/>
      <c r="H275" s="61">
        <f>SUM(D275:G275)</f>
        <v>0</v>
      </c>
      <c r="I275" s="63"/>
      <c r="J275" s="63"/>
      <c r="K275" s="63"/>
      <c r="L275" s="63"/>
      <c r="M275" s="61">
        <f>SUM(I275:L275)</f>
        <v>0</v>
      </c>
      <c r="N275" s="63">
        <v>3</v>
      </c>
      <c r="O275" s="63"/>
      <c r="P275" s="63"/>
      <c r="Q275" s="63"/>
      <c r="R275" s="61">
        <f>SUM(N275:Q275)</f>
        <v>3</v>
      </c>
      <c r="S275" s="68">
        <f t="shared" si="61"/>
        <v>3</v>
      </c>
    </row>
    <row r="276" spans="1:19" hidden="1" x14ac:dyDescent="0.35">
      <c r="A276" s="76" t="s">
        <v>328</v>
      </c>
      <c r="B276" s="67"/>
      <c r="C276" s="66"/>
      <c r="D276" s="66">
        <f t="shared" ref="D276:R276" si="65">SUM(D272:D275)</f>
        <v>3</v>
      </c>
      <c r="E276" s="66">
        <f t="shared" si="65"/>
        <v>0</v>
      </c>
      <c r="F276" s="66">
        <f t="shared" si="65"/>
        <v>0</v>
      </c>
      <c r="G276" s="66">
        <f t="shared" si="65"/>
        <v>0</v>
      </c>
      <c r="H276" s="61">
        <f t="shared" si="65"/>
        <v>3</v>
      </c>
      <c r="I276" s="66">
        <f t="shared" si="65"/>
        <v>0</v>
      </c>
      <c r="J276" s="66">
        <f t="shared" si="65"/>
        <v>0</v>
      </c>
      <c r="K276" s="66">
        <f t="shared" si="65"/>
        <v>0</v>
      </c>
      <c r="L276" s="66">
        <f t="shared" si="65"/>
        <v>0</v>
      </c>
      <c r="M276" s="61">
        <f t="shared" si="65"/>
        <v>0</v>
      </c>
      <c r="N276" s="66">
        <f t="shared" si="65"/>
        <v>6</v>
      </c>
      <c r="O276" s="66">
        <f t="shared" si="65"/>
        <v>0</v>
      </c>
      <c r="P276" s="66">
        <f t="shared" si="65"/>
        <v>0</v>
      </c>
      <c r="Q276" s="66">
        <f t="shared" si="65"/>
        <v>0</v>
      </c>
      <c r="R276" s="61">
        <f t="shared" si="65"/>
        <v>6</v>
      </c>
      <c r="S276" s="68">
        <f t="shared" si="61"/>
        <v>9</v>
      </c>
    </row>
    <row r="277" spans="1:19" x14ac:dyDescent="0.35">
      <c r="A277" s="66" t="s">
        <v>327</v>
      </c>
      <c r="B277" s="67">
        <v>24</v>
      </c>
      <c r="C277" s="66"/>
      <c r="D277" s="66">
        <f t="shared" ref="D277:R277" si="66">SUM(D276,D271)</f>
        <v>3</v>
      </c>
      <c r="E277" s="66">
        <f t="shared" si="66"/>
        <v>0</v>
      </c>
      <c r="F277" s="66">
        <f t="shared" si="66"/>
        <v>0</v>
      </c>
      <c r="G277" s="66">
        <f t="shared" si="66"/>
        <v>0</v>
      </c>
      <c r="H277" s="61">
        <f t="shared" si="66"/>
        <v>3</v>
      </c>
      <c r="I277" s="66">
        <f t="shared" si="66"/>
        <v>2</v>
      </c>
      <c r="J277" s="66">
        <f t="shared" si="66"/>
        <v>0</v>
      </c>
      <c r="K277" s="66">
        <f t="shared" si="66"/>
        <v>0</v>
      </c>
      <c r="L277" s="66">
        <f t="shared" si="66"/>
        <v>0</v>
      </c>
      <c r="M277" s="61">
        <f t="shared" si="66"/>
        <v>2</v>
      </c>
      <c r="N277" s="66">
        <f t="shared" si="66"/>
        <v>12</v>
      </c>
      <c r="O277" s="66">
        <f t="shared" si="66"/>
        <v>0</v>
      </c>
      <c r="P277" s="66">
        <f t="shared" si="66"/>
        <v>0</v>
      </c>
      <c r="Q277" s="66">
        <f t="shared" si="66"/>
        <v>0</v>
      </c>
      <c r="R277" s="61">
        <f t="shared" si="66"/>
        <v>12</v>
      </c>
      <c r="S277" s="68">
        <f t="shared" si="61"/>
        <v>17</v>
      </c>
    </row>
    <row r="278" spans="1:19" hidden="1" x14ac:dyDescent="0.35">
      <c r="A278" s="59" t="s">
        <v>329</v>
      </c>
      <c r="B278" s="54" t="s">
        <v>330</v>
      </c>
      <c r="C278" s="60" t="s">
        <v>225</v>
      </c>
      <c r="D278" s="60">
        <v>1</v>
      </c>
      <c r="E278" s="60"/>
      <c r="F278" s="60"/>
      <c r="G278" s="60"/>
      <c r="H278" s="61">
        <f>SUM(D278:G278)</f>
        <v>1</v>
      </c>
      <c r="I278" s="60"/>
      <c r="J278" s="60"/>
      <c r="K278" s="60"/>
      <c r="L278" s="60"/>
      <c r="M278" s="61">
        <f>SUM(I278:L278)</f>
        <v>0</v>
      </c>
      <c r="N278" s="60"/>
      <c r="O278" s="60"/>
      <c r="P278" s="60"/>
      <c r="Q278" s="60"/>
      <c r="R278" s="61">
        <f>SUM(N278:Q278)</f>
        <v>0</v>
      </c>
      <c r="S278" s="68">
        <f t="shared" si="61"/>
        <v>1</v>
      </c>
    </row>
    <row r="279" spans="1:19" hidden="1" x14ac:dyDescent="0.35">
      <c r="A279" s="111" t="s">
        <v>343</v>
      </c>
      <c r="B279" s="54"/>
      <c r="C279" s="63" t="s">
        <v>227</v>
      </c>
      <c r="D279" s="63"/>
      <c r="E279" s="63"/>
      <c r="F279" s="63"/>
      <c r="G279" s="63"/>
      <c r="H279" s="61">
        <f>SUM(D279:G279)</f>
        <v>0</v>
      </c>
      <c r="I279" s="63"/>
      <c r="J279" s="63"/>
      <c r="K279" s="63"/>
      <c r="L279" s="63"/>
      <c r="M279" s="61">
        <f>SUM(I279:L279)</f>
        <v>0</v>
      </c>
      <c r="N279" s="63"/>
      <c r="O279" s="63"/>
      <c r="P279" s="63"/>
      <c r="Q279" s="63"/>
      <c r="R279" s="61">
        <f>SUM(N279:Q279)</f>
        <v>0</v>
      </c>
      <c r="S279" s="68">
        <f t="shared" si="61"/>
        <v>0</v>
      </c>
    </row>
    <row r="280" spans="1:19" hidden="1" x14ac:dyDescent="0.35">
      <c r="A280" s="111"/>
      <c r="B280" s="54"/>
      <c r="C280" s="60" t="s">
        <v>228</v>
      </c>
      <c r="D280" s="60"/>
      <c r="E280" s="60"/>
      <c r="F280" s="60"/>
      <c r="G280" s="60"/>
      <c r="H280" s="61">
        <f>SUM(D280:G280)</f>
        <v>0</v>
      </c>
      <c r="I280" s="60"/>
      <c r="J280" s="60"/>
      <c r="K280" s="60"/>
      <c r="L280" s="60"/>
      <c r="M280" s="61">
        <f>SUM(I280:L280)</f>
        <v>0</v>
      </c>
      <c r="N280" s="60"/>
      <c r="O280" s="60"/>
      <c r="P280" s="60"/>
      <c r="Q280" s="60"/>
      <c r="R280" s="61">
        <f>SUM(N280:Q280)</f>
        <v>0</v>
      </c>
      <c r="S280" s="68">
        <f t="shared" si="61"/>
        <v>0</v>
      </c>
    </row>
    <row r="281" spans="1:19" hidden="1" x14ac:dyDescent="0.35">
      <c r="A281" s="111"/>
      <c r="B281" s="54"/>
      <c r="C281" s="63" t="s">
        <v>235</v>
      </c>
      <c r="D281" s="63"/>
      <c r="E281" s="63"/>
      <c r="F281" s="63"/>
      <c r="G281" s="63"/>
      <c r="H281" s="61">
        <f>SUM(D281:G281)</f>
        <v>0</v>
      </c>
      <c r="I281" s="63"/>
      <c r="J281" s="63"/>
      <c r="K281" s="63"/>
      <c r="L281" s="63"/>
      <c r="M281" s="61">
        <f>SUM(I281:L281)</f>
        <v>0</v>
      </c>
      <c r="N281" s="63"/>
      <c r="O281" s="63"/>
      <c r="P281" s="63"/>
      <c r="Q281" s="63"/>
      <c r="R281" s="61">
        <f>SUM(N281:Q281)</f>
        <v>0</v>
      </c>
      <c r="S281" s="68">
        <f t="shared" si="61"/>
        <v>0</v>
      </c>
    </row>
    <row r="282" spans="1:19" x14ac:dyDescent="0.35">
      <c r="A282" s="66" t="s">
        <v>329</v>
      </c>
      <c r="B282" s="67" t="s">
        <v>330</v>
      </c>
      <c r="C282" s="66"/>
      <c r="D282" s="66">
        <f t="shared" ref="D282:R282" si="67">SUM(D278:D281)</f>
        <v>1</v>
      </c>
      <c r="E282" s="66">
        <f t="shared" si="67"/>
        <v>0</v>
      </c>
      <c r="F282" s="66">
        <f t="shared" si="67"/>
        <v>0</v>
      </c>
      <c r="G282" s="66">
        <f t="shared" si="67"/>
        <v>0</v>
      </c>
      <c r="H282" s="61">
        <f t="shared" si="67"/>
        <v>1</v>
      </c>
      <c r="I282" s="66">
        <f t="shared" si="67"/>
        <v>0</v>
      </c>
      <c r="J282" s="66">
        <f t="shared" si="67"/>
        <v>0</v>
      </c>
      <c r="K282" s="66">
        <f t="shared" si="67"/>
        <v>0</v>
      </c>
      <c r="L282" s="66">
        <f t="shared" si="67"/>
        <v>0</v>
      </c>
      <c r="M282" s="61">
        <f t="shared" si="67"/>
        <v>0</v>
      </c>
      <c r="N282" s="66">
        <f t="shared" si="67"/>
        <v>0</v>
      </c>
      <c r="O282" s="66">
        <f t="shared" si="67"/>
        <v>0</v>
      </c>
      <c r="P282" s="66">
        <f t="shared" si="67"/>
        <v>0</v>
      </c>
      <c r="Q282" s="66">
        <f t="shared" si="67"/>
        <v>0</v>
      </c>
      <c r="R282" s="61">
        <f t="shared" si="67"/>
        <v>0</v>
      </c>
      <c r="S282" s="68">
        <f t="shared" si="61"/>
        <v>1</v>
      </c>
    </row>
    <row r="283" spans="1:19" hidden="1" x14ac:dyDescent="0.35">
      <c r="A283" s="59" t="s">
        <v>332</v>
      </c>
      <c r="B283" s="54">
        <v>7</v>
      </c>
      <c r="C283" s="60" t="s">
        <v>225</v>
      </c>
      <c r="D283" s="60"/>
      <c r="E283" s="60"/>
      <c r="F283" s="60"/>
      <c r="G283" s="60"/>
      <c r="H283" s="61">
        <f>SUM(D283:G283)</f>
        <v>0</v>
      </c>
      <c r="I283" s="60"/>
      <c r="J283" s="60"/>
      <c r="K283" s="60"/>
      <c r="L283" s="60"/>
      <c r="M283" s="61">
        <f>SUM(I283:L283)</f>
        <v>0</v>
      </c>
      <c r="N283" s="60">
        <v>2</v>
      </c>
      <c r="O283" s="60">
        <v>3</v>
      </c>
      <c r="P283" s="60"/>
      <c r="Q283" s="60"/>
      <c r="R283" s="61">
        <f>SUM(N283:Q283)</f>
        <v>5</v>
      </c>
      <c r="S283" s="68">
        <f t="shared" si="61"/>
        <v>5</v>
      </c>
    </row>
    <row r="284" spans="1:19" hidden="1" x14ac:dyDescent="0.35">
      <c r="A284" s="111" t="s">
        <v>284</v>
      </c>
      <c r="B284" s="54"/>
      <c r="C284" s="63" t="s">
        <v>227</v>
      </c>
      <c r="D284" s="63"/>
      <c r="E284" s="63"/>
      <c r="F284" s="63"/>
      <c r="G284" s="63"/>
      <c r="H284" s="61">
        <f>SUM(D284:G284)</f>
        <v>0</v>
      </c>
      <c r="I284" s="63">
        <v>1</v>
      </c>
      <c r="J284" s="63">
        <v>2</v>
      </c>
      <c r="K284" s="63"/>
      <c r="L284" s="63"/>
      <c r="M284" s="61">
        <f>SUM(I284:L284)</f>
        <v>3</v>
      </c>
      <c r="N284" s="63">
        <v>1</v>
      </c>
      <c r="O284" s="63">
        <v>1</v>
      </c>
      <c r="P284" s="63"/>
      <c r="Q284" s="63"/>
      <c r="R284" s="61">
        <f>SUM(N284:Q284)</f>
        <v>2</v>
      </c>
      <c r="S284" s="68">
        <f t="shared" si="61"/>
        <v>5</v>
      </c>
    </row>
    <row r="285" spans="1:19" hidden="1" x14ac:dyDescent="0.35">
      <c r="A285" s="111"/>
      <c r="B285" s="54"/>
      <c r="C285" s="60" t="s">
        <v>228</v>
      </c>
      <c r="D285" s="60">
        <v>1</v>
      </c>
      <c r="E285" s="60"/>
      <c r="F285" s="60"/>
      <c r="G285" s="60"/>
      <c r="H285" s="61">
        <f>SUM(D285:G285)</f>
        <v>1</v>
      </c>
      <c r="I285" s="60"/>
      <c r="J285" s="60"/>
      <c r="K285" s="60"/>
      <c r="L285" s="60"/>
      <c r="M285" s="61">
        <f>SUM(I285:L285)</f>
        <v>0</v>
      </c>
      <c r="N285" s="60">
        <v>4</v>
      </c>
      <c r="O285" s="60"/>
      <c r="P285" s="60"/>
      <c r="Q285" s="60"/>
      <c r="R285" s="61">
        <f>SUM(N285:Q285)</f>
        <v>4</v>
      </c>
      <c r="S285" s="68">
        <f t="shared" si="61"/>
        <v>5</v>
      </c>
    </row>
    <row r="286" spans="1:19" hidden="1" x14ac:dyDescent="0.35">
      <c r="A286" s="111"/>
      <c r="B286" s="54"/>
      <c r="C286" s="63" t="s">
        <v>235</v>
      </c>
      <c r="D286" s="63">
        <v>1</v>
      </c>
      <c r="E286" s="63"/>
      <c r="F286" s="63"/>
      <c r="G286" s="63"/>
      <c r="H286" s="61">
        <f>SUM(D286:G286)</f>
        <v>1</v>
      </c>
      <c r="I286" s="63">
        <v>3</v>
      </c>
      <c r="J286" s="63">
        <v>1</v>
      </c>
      <c r="K286" s="63"/>
      <c r="L286" s="63"/>
      <c r="M286" s="61">
        <f>SUM(I286:L286)</f>
        <v>4</v>
      </c>
      <c r="N286" s="63">
        <v>1</v>
      </c>
      <c r="O286" s="63"/>
      <c r="P286" s="63"/>
      <c r="Q286" s="63"/>
      <c r="R286" s="61">
        <f>SUM(N286:Q286)</f>
        <v>1</v>
      </c>
      <c r="S286" s="68">
        <f t="shared" si="61"/>
        <v>6</v>
      </c>
    </row>
    <row r="287" spans="1:19" x14ac:dyDescent="0.35">
      <c r="A287" s="66" t="s">
        <v>332</v>
      </c>
      <c r="B287" s="67">
        <v>7</v>
      </c>
      <c r="C287" s="66"/>
      <c r="D287" s="66">
        <f t="shared" ref="D287:R287" si="68">SUM(D283:D286)</f>
        <v>2</v>
      </c>
      <c r="E287" s="66">
        <f t="shared" si="68"/>
        <v>0</v>
      </c>
      <c r="F287" s="66">
        <f t="shared" si="68"/>
        <v>0</v>
      </c>
      <c r="G287" s="66">
        <f t="shared" si="68"/>
        <v>0</v>
      </c>
      <c r="H287" s="61">
        <f t="shared" si="68"/>
        <v>2</v>
      </c>
      <c r="I287" s="66">
        <f t="shared" si="68"/>
        <v>4</v>
      </c>
      <c r="J287" s="66">
        <f t="shared" si="68"/>
        <v>3</v>
      </c>
      <c r="K287" s="66">
        <f t="shared" si="68"/>
        <v>0</v>
      </c>
      <c r="L287" s="66">
        <f t="shared" si="68"/>
        <v>0</v>
      </c>
      <c r="M287" s="61">
        <f t="shared" si="68"/>
        <v>7</v>
      </c>
      <c r="N287" s="66">
        <f t="shared" si="68"/>
        <v>8</v>
      </c>
      <c r="O287" s="66">
        <f t="shared" si="68"/>
        <v>4</v>
      </c>
      <c r="P287" s="66">
        <f t="shared" si="68"/>
        <v>0</v>
      </c>
      <c r="Q287" s="66">
        <f t="shared" si="68"/>
        <v>0</v>
      </c>
      <c r="R287" s="61">
        <f t="shared" si="68"/>
        <v>12</v>
      </c>
      <c r="S287" s="68">
        <f t="shared" si="61"/>
        <v>21</v>
      </c>
    </row>
    <row r="288" spans="1:19" hidden="1" x14ac:dyDescent="0.35">
      <c r="A288" s="59" t="s">
        <v>113</v>
      </c>
      <c r="B288" s="54">
        <v>5</v>
      </c>
      <c r="C288" s="60" t="s">
        <v>225</v>
      </c>
      <c r="D288" s="60">
        <v>10</v>
      </c>
      <c r="E288" s="60">
        <v>2</v>
      </c>
      <c r="F288" s="60"/>
      <c r="G288" s="60"/>
      <c r="H288" s="61">
        <f>SUM(D288:G288)</f>
        <v>12</v>
      </c>
      <c r="I288" s="60">
        <v>16</v>
      </c>
      <c r="J288" s="60"/>
      <c r="K288" s="60"/>
      <c r="L288" s="60"/>
      <c r="M288" s="61">
        <f>SUM(I288:L288)</f>
        <v>16</v>
      </c>
      <c r="N288" s="60">
        <v>27</v>
      </c>
      <c r="O288" s="60">
        <v>3</v>
      </c>
      <c r="P288" s="60"/>
      <c r="Q288" s="60"/>
      <c r="R288" s="61">
        <f>SUM(N288:Q288)</f>
        <v>30</v>
      </c>
      <c r="S288" s="68">
        <f t="shared" si="61"/>
        <v>58</v>
      </c>
    </row>
    <row r="289" spans="1:19" hidden="1" x14ac:dyDescent="0.35">
      <c r="A289" s="111" t="s">
        <v>238</v>
      </c>
      <c r="B289" s="54"/>
      <c r="C289" s="63" t="s">
        <v>227</v>
      </c>
      <c r="D289" s="63">
        <v>3</v>
      </c>
      <c r="E289" s="63"/>
      <c r="F289" s="63"/>
      <c r="G289" s="63"/>
      <c r="H289" s="61">
        <f>SUM(D289:G289)</f>
        <v>3</v>
      </c>
      <c r="I289" s="63">
        <v>8</v>
      </c>
      <c r="J289" s="63"/>
      <c r="K289" s="63"/>
      <c r="L289" s="63"/>
      <c r="M289" s="61">
        <f>SUM(I289:L289)</f>
        <v>8</v>
      </c>
      <c r="N289" s="63">
        <v>26</v>
      </c>
      <c r="O289" s="63">
        <v>3</v>
      </c>
      <c r="P289" s="63"/>
      <c r="Q289" s="63"/>
      <c r="R289" s="61">
        <f>SUM(N289:Q289)</f>
        <v>29</v>
      </c>
      <c r="S289" s="68">
        <f t="shared" si="61"/>
        <v>40</v>
      </c>
    </row>
    <row r="290" spans="1:19" hidden="1" x14ac:dyDescent="0.35">
      <c r="A290" s="111"/>
      <c r="B290" s="54"/>
      <c r="C290" s="60" t="s">
        <v>228</v>
      </c>
      <c r="D290" s="60">
        <v>6</v>
      </c>
      <c r="E290" s="60"/>
      <c r="F290" s="60"/>
      <c r="G290" s="60"/>
      <c r="H290" s="61">
        <f>SUM(D290:G290)</f>
        <v>6</v>
      </c>
      <c r="I290" s="60">
        <v>9</v>
      </c>
      <c r="J290" s="60">
        <v>1</v>
      </c>
      <c r="K290" s="60"/>
      <c r="L290" s="60"/>
      <c r="M290" s="61">
        <f>SUM(I290:L290)</f>
        <v>10</v>
      </c>
      <c r="N290" s="60">
        <v>23</v>
      </c>
      <c r="O290" s="60">
        <v>2</v>
      </c>
      <c r="P290" s="60"/>
      <c r="Q290" s="60"/>
      <c r="R290" s="61">
        <f>SUM(N290:Q290)</f>
        <v>25</v>
      </c>
      <c r="S290" s="68">
        <f t="shared" si="61"/>
        <v>41</v>
      </c>
    </row>
    <row r="291" spans="1:19" hidden="1" x14ac:dyDescent="0.35">
      <c r="A291" s="111"/>
      <c r="B291" s="54"/>
      <c r="C291" s="63" t="s">
        <v>235</v>
      </c>
      <c r="D291" s="63">
        <v>9</v>
      </c>
      <c r="E291" s="63">
        <v>1</v>
      </c>
      <c r="F291" s="63"/>
      <c r="G291" s="63"/>
      <c r="H291" s="61">
        <f>SUM(D291:G291)</f>
        <v>10</v>
      </c>
      <c r="I291" s="63">
        <v>7</v>
      </c>
      <c r="J291" s="63">
        <v>1</v>
      </c>
      <c r="K291" s="63"/>
      <c r="L291" s="63"/>
      <c r="M291" s="61">
        <f>SUM(I291:L291)</f>
        <v>8</v>
      </c>
      <c r="N291" s="63">
        <v>25</v>
      </c>
      <c r="O291" s="63">
        <v>2</v>
      </c>
      <c r="P291" s="63"/>
      <c r="Q291" s="63"/>
      <c r="R291" s="61">
        <f>SUM(N291:Q291)</f>
        <v>27</v>
      </c>
      <c r="S291" s="68">
        <f t="shared" si="61"/>
        <v>45</v>
      </c>
    </row>
    <row r="292" spans="1:19" x14ac:dyDescent="0.35">
      <c r="A292" s="66" t="s">
        <v>113</v>
      </c>
      <c r="B292" s="67">
        <v>5</v>
      </c>
      <c r="C292" s="66"/>
      <c r="D292" s="66">
        <f t="shared" ref="D292:R292" si="69">SUM(D288:D291)</f>
        <v>28</v>
      </c>
      <c r="E292" s="66">
        <f t="shared" si="69"/>
        <v>3</v>
      </c>
      <c r="F292" s="66">
        <f t="shared" si="69"/>
        <v>0</v>
      </c>
      <c r="G292" s="66">
        <f t="shared" si="69"/>
        <v>0</v>
      </c>
      <c r="H292" s="61">
        <f t="shared" si="69"/>
        <v>31</v>
      </c>
      <c r="I292" s="66">
        <f t="shared" si="69"/>
        <v>40</v>
      </c>
      <c r="J292" s="66">
        <f t="shared" si="69"/>
        <v>2</v>
      </c>
      <c r="K292" s="66">
        <f t="shared" si="69"/>
        <v>0</v>
      </c>
      <c r="L292" s="66">
        <f t="shared" si="69"/>
        <v>0</v>
      </c>
      <c r="M292" s="61">
        <f t="shared" si="69"/>
        <v>42</v>
      </c>
      <c r="N292" s="66">
        <f t="shared" si="69"/>
        <v>101</v>
      </c>
      <c r="O292" s="66">
        <f t="shared" si="69"/>
        <v>10</v>
      </c>
      <c r="P292" s="66">
        <f t="shared" si="69"/>
        <v>0</v>
      </c>
      <c r="Q292" s="66">
        <f t="shared" si="69"/>
        <v>0</v>
      </c>
      <c r="R292" s="61">
        <f t="shared" si="69"/>
        <v>111</v>
      </c>
      <c r="S292" s="68">
        <f t="shared" si="61"/>
        <v>184</v>
      </c>
    </row>
    <row r="293" spans="1:19" hidden="1" x14ac:dyDescent="0.35">
      <c r="A293" s="59" t="s">
        <v>333</v>
      </c>
      <c r="B293" s="54">
        <v>4</v>
      </c>
      <c r="C293" s="60" t="s">
        <v>225</v>
      </c>
      <c r="D293" s="60"/>
      <c r="E293" s="60"/>
      <c r="F293" s="60"/>
      <c r="G293" s="60"/>
      <c r="H293" s="61">
        <f>SUM(D293:G293)</f>
        <v>0</v>
      </c>
      <c r="I293" s="60"/>
      <c r="J293" s="60"/>
      <c r="K293" s="60"/>
      <c r="L293" s="60"/>
      <c r="M293" s="61">
        <f>SUM(I293:L293)</f>
        <v>0</v>
      </c>
      <c r="N293" s="60">
        <v>1</v>
      </c>
      <c r="O293" s="60"/>
      <c r="P293" s="60"/>
      <c r="Q293" s="60"/>
      <c r="R293" s="61">
        <f>SUM(N293:Q293)</f>
        <v>1</v>
      </c>
      <c r="S293" s="68">
        <f t="shared" si="61"/>
        <v>1</v>
      </c>
    </row>
    <row r="294" spans="1:19" hidden="1" x14ac:dyDescent="0.35">
      <c r="A294" s="111" t="s">
        <v>238</v>
      </c>
      <c r="B294" s="54"/>
      <c r="C294" s="63" t="s">
        <v>227</v>
      </c>
      <c r="D294" s="63"/>
      <c r="E294" s="63"/>
      <c r="F294" s="63"/>
      <c r="G294" s="63"/>
      <c r="H294" s="61">
        <f>SUM(D294:G294)</f>
        <v>0</v>
      </c>
      <c r="I294" s="63">
        <v>1</v>
      </c>
      <c r="J294" s="63"/>
      <c r="K294" s="63"/>
      <c r="L294" s="63"/>
      <c r="M294" s="61">
        <f>SUM(I294:L294)</f>
        <v>1</v>
      </c>
      <c r="N294" s="63"/>
      <c r="O294" s="63"/>
      <c r="P294" s="63"/>
      <c r="Q294" s="63"/>
      <c r="R294" s="61">
        <f>SUM(N294:Q294)</f>
        <v>0</v>
      </c>
      <c r="S294" s="68">
        <f t="shared" si="61"/>
        <v>1</v>
      </c>
    </row>
    <row r="295" spans="1:19" hidden="1" x14ac:dyDescent="0.35">
      <c r="A295" s="111"/>
      <c r="B295" s="54"/>
      <c r="C295" s="60" t="s">
        <v>228</v>
      </c>
      <c r="D295" s="60"/>
      <c r="E295" s="60"/>
      <c r="F295" s="60"/>
      <c r="G295" s="60"/>
      <c r="H295" s="61">
        <f>SUM(D295:G295)</f>
        <v>0</v>
      </c>
      <c r="I295" s="60"/>
      <c r="J295" s="60"/>
      <c r="K295" s="60"/>
      <c r="L295" s="60"/>
      <c r="M295" s="61">
        <f>SUM(I295:L295)</f>
        <v>0</v>
      </c>
      <c r="N295" s="60"/>
      <c r="O295" s="60"/>
      <c r="P295" s="60"/>
      <c r="Q295" s="60"/>
      <c r="R295" s="61">
        <f>SUM(N295:Q295)</f>
        <v>0</v>
      </c>
      <c r="S295" s="68">
        <f t="shared" si="61"/>
        <v>0</v>
      </c>
    </row>
    <row r="296" spans="1:19" hidden="1" x14ac:dyDescent="0.35">
      <c r="A296" s="111"/>
      <c r="B296" s="54"/>
      <c r="C296" s="63" t="s">
        <v>235</v>
      </c>
      <c r="D296" s="63"/>
      <c r="E296" s="63"/>
      <c r="F296" s="63"/>
      <c r="G296" s="63"/>
      <c r="H296" s="61">
        <f>SUM(D296:G296)</f>
        <v>0</v>
      </c>
      <c r="I296" s="63"/>
      <c r="J296" s="63"/>
      <c r="K296" s="63"/>
      <c r="L296" s="63"/>
      <c r="M296" s="61">
        <f>SUM(I296:L296)</f>
        <v>0</v>
      </c>
      <c r="N296" s="63">
        <v>1</v>
      </c>
      <c r="O296" s="63"/>
      <c r="P296" s="63"/>
      <c r="Q296" s="63"/>
      <c r="R296" s="61">
        <f>SUM(N296:Q296)</f>
        <v>1</v>
      </c>
      <c r="S296" s="68">
        <f t="shared" si="61"/>
        <v>1</v>
      </c>
    </row>
    <row r="297" spans="1:19" x14ac:dyDescent="0.35">
      <c r="A297" s="66" t="s">
        <v>333</v>
      </c>
      <c r="B297" s="67">
        <v>4</v>
      </c>
      <c r="C297" s="66"/>
      <c r="D297" s="66">
        <f t="shared" ref="D297:R297" si="70">SUM(D293:D296)</f>
        <v>0</v>
      </c>
      <c r="E297" s="66">
        <f t="shared" si="70"/>
        <v>0</v>
      </c>
      <c r="F297" s="66">
        <f t="shared" si="70"/>
        <v>0</v>
      </c>
      <c r="G297" s="66">
        <f t="shared" si="70"/>
        <v>0</v>
      </c>
      <c r="H297" s="61">
        <f t="shared" si="70"/>
        <v>0</v>
      </c>
      <c r="I297" s="66">
        <f t="shared" si="70"/>
        <v>1</v>
      </c>
      <c r="J297" s="66">
        <f t="shared" si="70"/>
        <v>0</v>
      </c>
      <c r="K297" s="66">
        <f t="shared" si="70"/>
        <v>0</v>
      </c>
      <c r="L297" s="66">
        <f t="shared" si="70"/>
        <v>0</v>
      </c>
      <c r="M297" s="61">
        <f t="shared" si="70"/>
        <v>1</v>
      </c>
      <c r="N297" s="66">
        <f t="shared" si="70"/>
        <v>2</v>
      </c>
      <c r="O297" s="66">
        <f t="shared" si="70"/>
        <v>0</v>
      </c>
      <c r="P297" s="66">
        <f t="shared" si="70"/>
        <v>0</v>
      </c>
      <c r="Q297" s="66">
        <f t="shared" si="70"/>
        <v>0</v>
      </c>
      <c r="R297" s="61">
        <f t="shared" si="70"/>
        <v>2</v>
      </c>
      <c r="S297" s="68">
        <f t="shared" si="61"/>
        <v>3</v>
      </c>
    </row>
    <row r="298" spans="1:19" hidden="1" x14ac:dyDescent="0.35">
      <c r="A298" s="59" t="s">
        <v>416</v>
      </c>
      <c r="B298" s="54" t="s">
        <v>255</v>
      </c>
      <c r="C298" s="60" t="s">
        <v>225</v>
      </c>
      <c r="D298" s="60">
        <v>5</v>
      </c>
      <c r="E298" s="60"/>
      <c r="F298" s="60"/>
      <c r="G298" s="60"/>
      <c r="H298" s="61">
        <f>SUM(D298:G298)</f>
        <v>5</v>
      </c>
      <c r="I298" s="60">
        <v>4</v>
      </c>
      <c r="J298" s="60"/>
      <c r="K298" s="60"/>
      <c r="L298" s="60"/>
      <c r="M298" s="61">
        <f>SUM(I298:L298)</f>
        <v>4</v>
      </c>
      <c r="N298" s="60">
        <v>5</v>
      </c>
      <c r="O298" s="60"/>
      <c r="P298" s="60"/>
      <c r="Q298" s="60"/>
      <c r="R298" s="61">
        <f>SUM(N298:Q298)</f>
        <v>5</v>
      </c>
      <c r="S298" s="68">
        <f t="shared" si="61"/>
        <v>14</v>
      </c>
    </row>
    <row r="299" spans="1:19" hidden="1" x14ac:dyDescent="0.35">
      <c r="A299" s="111" t="s">
        <v>260</v>
      </c>
      <c r="B299" s="54"/>
      <c r="C299" s="63" t="s">
        <v>227</v>
      </c>
      <c r="D299" s="63">
        <v>2</v>
      </c>
      <c r="E299" s="63"/>
      <c r="F299" s="63"/>
      <c r="G299" s="63"/>
      <c r="H299" s="61">
        <f>SUM(D299:G299)</f>
        <v>2</v>
      </c>
      <c r="I299" s="63">
        <v>13</v>
      </c>
      <c r="J299" s="63">
        <v>2</v>
      </c>
      <c r="K299" s="63"/>
      <c r="L299" s="63"/>
      <c r="M299" s="61">
        <f>SUM(I299:L299)</f>
        <v>15</v>
      </c>
      <c r="N299" s="63">
        <v>11</v>
      </c>
      <c r="O299" s="63">
        <v>2</v>
      </c>
      <c r="P299" s="63"/>
      <c r="Q299" s="63"/>
      <c r="R299" s="61">
        <f>SUM(N299:Q299)</f>
        <v>13</v>
      </c>
      <c r="S299" s="68">
        <f t="shared" si="61"/>
        <v>30</v>
      </c>
    </row>
    <row r="300" spans="1:19" hidden="1" x14ac:dyDescent="0.35">
      <c r="A300" s="111"/>
      <c r="B300" s="54"/>
      <c r="C300" s="60" t="s">
        <v>228</v>
      </c>
      <c r="D300" s="60">
        <v>3</v>
      </c>
      <c r="E300" s="60"/>
      <c r="F300" s="60"/>
      <c r="G300" s="60"/>
      <c r="H300" s="61">
        <f>SUM(D300:G300)</f>
        <v>3</v>
      </c>
      <c r="I300" s="60">
        <v>6</v>
      </c>
      <c r="J300" s="60"/>
      <c r="K300" s="60"/>
      <c r="L300" s="60"/>
      <c r="M300" s="61">
        <f>SUM(I300:L300)</f>
        <v>6</v>
      </c>
      <c r="N300" s="60">
        <v>15</v>
      </c>
      <c r="O300" s="60">
        <v>2</v>
      </c>
      <c r="P300" s="60"/>
      <c r="Q300" s="60"/>
      <c r="R300" s="61">
        <f>SUM(N300:Q300)</f>
        <v>17</v>
      </c>
      <c r="S300" s="68">
        <f t="shared" si="61"/>
        <v>26</v>
      </c>
    </row>
    <row r="301" spans="1:19" hidden="1" x14ac:dyDescent="0.35">
      <c r="A301" s="111"/>
      <c r="B301" s="54"/>
      <c r="C301" s="63" t="s">
        <v>235</v>
      </c>
      <c r="D301" s="63">
        <v>2</v>
      </c>
      <c r="E301" s="63"/>
      <c r="F301" s="63"/>
      <c r="G301" s="63"/>
      <c r="H301" s="61">
        <f>SUM(D301:G301)</f>
        <v>2</v>
      </c>
      <c r="I301" s="63">
        <v>3</v>
      </c>
      <c r="J301" s="63"/>
      <c r="K301" s="63"/>
      <c r="L301" s="63"/>
      <c r="M301" s="61">
        <f>SUM(I301:L301)</f>
        <v>3</v>
      </c>
      <c r="N301" s="63">
        <v>20</v>
      </c>
      <c r="O301" s="63"/>
      <c r="P301" s="63"/>
      <c r="Q301" s="63"/>
      <c r="R301" s="61">
        <f>SUM(N301:Q301)</f>
        <v>20</v>
      </c>
      <c r="S301" s="68">
        <f t="shared" si="61"/>
        <v>25</v>
      </c>
    </row>
    <row r="302" spans="1:19" x14ac:dyDescent="0.35">
      <c r="A302" s="66" t="s">
        <v>416</v>
      </c>
      <c r="B302" s="67" t="s">
        <v>261</v>
      </c>
      <c r="C302" s="66"/>
      <c r="D302" s="66">
        <f t="shared" ref="D302:R302" si="71">SUM(D298:D301)</f>
        <v>12</v>
      </c>
      <c r="E302" s="66">
        <f t="shared" si="71"/>
        <v>0</v>
      </c>
      <c r="F302" s="66">
        <f t="shared" si="71"/>
        <v>0</v>
      </c>
      <c r="G302" s="66">
        <f t="shared" si="71"/>
        <v>0</v>
      </c>
      <c r="H302" s="61">
        <f t="shared" si="71"/>
        <v>12</v>
      </c>
      <c r="I302" s="66">
        <f t="shared" si="71"/>
        <v>26</v>
      </c>
      <c r="J302" s="66">
        <f t="shared" si="71"/>
        <v>2</v>
      </c>
      <c r="K302" s="66">
        <f t="shared" si="71"/>
        <v>0</v>
      </c>
      <c r="L302" s="66">
        <f t="shared" si="71"/>
        <v>0</v>
      </c>
      <c r="M302" s="61">
        <f t="shared" si="71"/>
        <v>28</v>
      </c>
      <c r="N302" s="66">
        <f t="shared" si="71"/>
        <v>51</v>
      </c>
      <c r="O302" s="66">
        <f t="shared" si="71"/>
        <v>4</v>
      </c>
      <c r="P302" s="66">
        <f t="shared" si="71"/>
        <v>0</v>
      </c>
      <c r="Q302" s="66">
        <f t="shared" si="71"/>
        <v>0</v>
      </c>
      <c r="R302" s="61">
        <f t="shared" si="71"/>
        <v>55</v>
      </c>
      <c r="S302" s="68">
        <f t="shared" si="61"/>
        <v>95</v>
      </c>
    </row>
    <row r="303" spans="1:19" hidden="1" x14ac:dyDescent="0.35">
      <c r="A303" s="59" t="s">
        <v>335</v>
      </c>
      <c r="B303" s="54" t="s">
        <v>255</v>
      </c>
      <c r="C303" s="60" t="s">
        <v>225</v>
      </c>
      <c r="D303" s="60"/>
      <c r="E303" s="60"/>
      <c r="F303" s="60"/>
      <c r="G303" s="60"/>
      <c r="H303" s="61">
        <f>SUM(D303:G303)</f>
        <v>0</v>
      </c>
      <c r="I303" s="60"/>
      <c r="J303" s="60"/>
      <c r="K303" s="60"/>
      <c r="L303" s="60"/>
      <c r="M303" s="61">
        <f>SUM(I303:L303)</f>
        <v>0</v>
      </c>
      <c r="N303" s="60"/>
      <c r="O303" s="60"/>
      <c r="P303" s="60"/>
      <c r="Q303" s="60"/>
      <c r="R303" s="61">
        <f>SUM(N303:Q303)</f>
        <v>0</v>
      </c>
      <c r="S303" s="68">
        <f t="shared" si="61"/>
        <v>0</v>
      </c>
    </row>
    <row r="304" spans="1:19" hidden="1" x14ac:dyDescent="0.35">
      <c r="A304" s="111" t="s">
        <v>254</v>
      </c>
      <c r="B304" s="54"/>
      <c r="C304" s="63" t="s">
        <v>227</v>
      </c>
      <c r="D304" s="63"/>
      <c r="E304" s="63"/>
      <c r="F304" s="63"/>
      <c r="G304" s="63"/>
      <c r="H304" s="61">
        <f>SUM(D304:G304)</f>
        <v>0</v>
      </c>
      <c r="I304" s="63"/>
      <c r="J304" s="63"/>
      <c r="K304" s="63"/>
      <c r="L304" s="63"/>
      <c r="M304" s="61">
        <f>SUM(I304:L304)</f>
        <v>0</v>
      </c>
      <c r="N304" s="63"/>
      <c r="O304" s="63"/>
      <c r="P304" s="63"/>
      <c r="Q304" s="63"/>
      <c r="R304" s="61">
        <f>SUM(N304:Q304)</f>
        <v>0</v>
      </c>
      <c r="S304" s="68">
        <f t="shared" si="61"/>
        <v>0</v>
      </c>
    </row>
    <row r="305" spans="1:19" hidden="1" x14ac:dyDescent="0.35">
      <c r="A305" s="111"/>
      <c r="B305" s="54"/>
      <c r="C305" s="60" t="s">
        <v>228</v>
      </c>
      <c r="D305" s="60"/>
      <c r="E305" s="60"/>
      <c r="F305" s="60"/>
      <c r="G305" s="60"/>
      <c r="H305" s="61">
        <f>SUM(D305:G305)</f>
        <v>0</v>
      </c>
      <c r="I305" s="60"/>
      <c r="J305" s="60"/>
      <c r="K305" s="60"/>
      <c r="L305" s="60"/>
      <c r="M305" s="61">
        <f>SUM(I305:L305)</f>
        <v>0</v>
      </c>
      <c r="N305" s="60"/>
      <c r="O305" s="60"/>
      <c r="P305" s="60"/>
      <c r="Q305" s="60"/>
      <c r="R305" s="61">
        <f>SUM(N305:Q305)</f>
        <v>0</v>
      </c>
      <c r="S305" s="68">
        <f t="shared" si="61"/>
        <v>0</v>
      </c>
    </row>
    <row r="306" spans="1:19" hidden="1" x14ac:dyDescent="0.35">
      <c r="A306" s="111"/>
      <c r="B306" s="54"/>
      <c r="C306" s="63" t="s">
        <v>235</v>
      </c>
      <c r="D306" s="63"/>
      <c r="E306" s="63"/>
      <c r="F306" s="63"/>
      <c r="G306" s="63"/>
      <c r="H306" s="61">
        <f>SUM(D306:G306)</f>
        <v>0</v>
      </c>
      <c r="I306" s="63"/>
      <c r="J306" s="63"/>
      <c r="K306" s="63"/>
      <c r="L306" s="63"/>
      <c r="M306" s="61">
        <f>SUM(I306:L306)</f>
        <v>0</v>
      </c>
      <c r="N306" s="63"/>
      <c r="O306" s="63"/>
      <c r="P306" s="63"/>
      <c r="Q306" s="63"/>
      <c r="R306" s="61">
        <f>SUM(N306:Q306)</f>
        <v>0</v>
      </c>
      <c r="S306" s="68">
        <f t="shared" si="61"/>
        <v>0</v>
      </c>
    </row>
    <row r="307" spans="1:19" x14ac:dyDescent="0.35">
      <c r="A307" s="66" t="s">
        <v>335</v>
      </c>
      <c r="B307" s="67" t="s">
        <v>255</v>
      </c>
      <c r="C307" s="66"/>
      <c r="D307" s="66">
        <f t="shared" ref="D307:R307" si="72">SUM(D303:D306)</f>
        <v>0</v>
      </c>
      <c r="E307" s="66">
        <f t="shared" si="72"/>
        <v>0</v>
      </c>
      <c r="F307" s="66">
        <f t="shared" si="72"/>
        <v>0</v>
      </c>
      <c r="G307" s="66">
        <f t="shared" si="72"/>
        <v>0</v>
      </c>
      <c r="H307" s="61">
        <f t="shared" si="72"/>
        <v>0</v>
      </c>
      <c r="I307" s="66">
        <f t="shared" si="72"/>
        <v>0</v>
      </c>
      <c r="J307" s="66">
        <f t="shared" si="72"/>
        <v>0</v>
      </c>
      <c r="K307" s="66">
        <f t="shared" si="72"/>
        <v>0</v>
      </c>
      <c r="L307" s="66">
        <f t="shared" si="72"/>
        <v>0</v>
      </c>
      <c r="M307" s="61">
        <f t="shared" si="72"/>
        <v>0</v>
      </c>
      <c r="N307" s="66">
        <f t="shared" si="72"/>
        <v>0</v>
      </c>
      <c r="O307" s="66">
        <f t="shared" si="72"/>
        <v>0</v>
      </c>
      <c r="P307" s="66">
        <f t="shared" si="72"/>
        <v>0</v>
      </c>
      <c r="Q307" s="66">
        <f t="shared" si="72"/>
        <v>0</v>
      </c>
      <c r="R307" s="61">
        <f t="shared" si="72"/>
        <v>0</v>
      </c>
      <c r="S307" s="68">
        <f t="shared" si="61"/>
        <v>0</v>
      </c>
    </row>
    <row r="308" spans="1:19" hidden="1" x14ac:dyDescent="0.35">
      <c r="A308" s="59" t="s">
        <v>336</v>
      </c>
      <c r="B308" s="54">
        <v>5</v>
      </c>
      <c r="C308" s="60" t="s">
        <v>225</v>
      </c>
      <c r="D308" s="60"/>
      <c r="E308" s="60">
        <v>1</v>
      </c>
      <c r="F308" s="60"/>
      <c r="G308" s="60"/>
      <c r="H308" s="61">
        <f>SUM(D308:G308)</f>
        <v>1</v>
      </c>
      <c r="I308" s="60"/>
      <c r="J308" s="60"/>
      <c r="K308" s="60"/>
      <c r="L308" s="60"/>
      <c r="M308" s="61">
        <f>SUM(I308:L308)</f>
        <v>0</v>
      </c>
      <c r="N308" s="60">
        <v>3</v>
      </c>
      <c r="O308" s="60">
        <v>1</v>
      </c>
      <c r="P308" s="60"/>
      <c r="Q308" s="60"/>
      <c r="R308" s="61">
        <f>SUM(N308:Q308)</f>
        <v>4</v>
      </c>
      <c r="S308" s="68">
        <f t="shared" si="61"/>
        <v>5</v>
      </c>
    </row>
    <row r="309" spans="1:19" hidden="1" x14ac:dyDescent="0.35">
      <c r="A309" s="111" t="s">
        <v>238</v>
      </c>
      <c r="B309" s="54"/>
      <c r="C309" s="63" t="s">
        <v>227</v>
      </c>
      <c r="D309" s="63">
        <v>1</v>
      </c>
      <c r="E309" s="63"/>
      <c r="F309" s="63"/>
      <c r="G309" s="63"/>
      <c r="H309" s="61">
        <f>SUM(D309:G309)</f>
        <v>1</v>
      </c>
      <c r="I309" s="63"/>
      <c r="J309" s="63"/>
      <c r="K309" s="63"/>
      <c r="L309" s="63"/>
      <c r="M309" s="61">
        <f>SUM(I309:L309)</f>
        <v>0</v>
      </c>
      <c r="N309" s="63">
        <v>3</v>
      </c>
      <c r="O309" s="63">
        <v>1</v>
      </c>
      <c r="P309" s="63"/>
      <c r="Q309" s="63"/>
      <c r="R309" s="61">
        <f>SUM(N309:Q309)</f>
        <v>4</v>
      </c>
      <c r="S309" s="68">
        <f t="shared" si="61"/>
        <v>5</v>
      </c>
    </row>
    <row r="310" spans="1:19" hidden="1" x14ac:dyDescent="0.35">
      <c r="A310" s="111"/>
      <c r="B310" s="54"/>
      <c r="C310" s="60" t="s">
        <v>228</v>
      </c>
      <c r="D310" s="60">
        <v>1</v>
      </c>
      <c r="E310" s="60"/>
      <c r="F310" s="60"/>
      <c r="G310" s="60"/>
      <c r="H310" s="61">
        <f>SUM(D310:G310)</f>
        <v>1</v>
      </c>
      <c r="I310" s="60">
        <v>1</v>
      </c>
      <c r="J310" s="60"/>
      <c r="K310" s="60"/>
      <c r="L310" s="60"/>
      <c r="M310" s="61">
        <f>SUM(I310:L310)</f>
        <v>1</v>
      </c>
      <c r="N310" s="60">
        <v>2</v>
      </c>
      <c r="O310" s="60">
        <v>1</v>
      </c>
      <c r="P310" s="60"/>
      <c r="Q310" s="60"/>
      <c r="R310" s="61">
        <f>SUM(N310:Q310)</f>
        <v>3</v>
      </c>
      <c r="S310" s="68">
        <f t="shared" si="61"/>
        <v>5</v>
      </c>
    </row>
    <row r="311" spans="1:19" hidden="1" x14ac:dyDescent="0.35">
      <c r="A311" s="111"/>
      <c r="B311" s="54"/>
      <c r="C311" s="63" t="s">
        <v>235</v>
      </c>
      <c r="D311" s="63"/>
      <c r="E311" s="63"/>
      <c r="F311" s="63"/>
      <c r="G311" s="63"/>
      <c r="H311" s="61">
        <f>SUM(D311:G311)</f>
        <v>0</v>
      </c>
      <c r="I311" s="63"/>
      <c r="J311" s="63"/>
      <c r="K311" s="63"/>
      <c r="L311" s="63"/>
      <c r="M311" s="61">
        <f>SUM(I311:L311)</f>
        <v>0</v>
      </c>
      <c r="N311" s="63">
        <v>4</v>
      </c>
      <c r="O311" s="63">
        <v>1</v>
      </c>
      <c r="P311" s="63"/>
      <c r="Q311" s="63"/>
      <c r="R311" s="61">
        <f>SUM(N311:Q311)</f>
        <v>5</v>
      </c>
      <c r="S311" s="68">
        <f t="shared" si="61"/>
        <v>5</v>
      </c>
    </row>
    <row r="312" spans="1:19" x14ac:dyDescent="0.35">
      <c r="A312" s="66" t="s">
        <v>336</v>
      </c>
      <c r="B312" s="67">
        <v>5</v>
      </c>
      <c r="C312" s="66"/>
      <c r="D312" s="66">
        <f t="shared" ref="D312:R312" si="73">SUM(D308:D311)</f>
        <v>2</v>
      </c>
      <c r="E312" s="66">
        <f t="shared" si="73"/>
        <v>1</v>
      </c>
      <c r="F312" s="66">
        <f t="shared" si="73"/>
        <v>0</v>
      </c>
      <c r="G312" s="66">
        <f t="shared" si="73"/>
        <v>0</v>
      </c>
      <c r="H312" s="61">
        <f t="shared" si="73"/>
        <v>3</v>
      </c>
      <c r="I312" s="66">
        <f t="shared" si="73"/>
        <v>1</v>
      </c>
      <c r="J312" s="66">
        <f t="shared" si="73"/>
        <v>0</v>
      </c>
      <c r="K312" s="66">
        <f t="shared" si="73"/>
        <v>0</v>
      </c>
      <c r="L312" s="66">
        <f t="shared" si="73"/>
        <v>0</v>
      </c>
      <c r="M312" s="61">
        <f t="shared" si="73"/>
        <v>1</v>
      </c>
      <c r="N312" s="66">
        <f t="shared" si="73"/>
        <v>12</v>
      </c>
      <c r="O312" s="66">
        <f t="shared" si="73"/>
        <v>4</v>
      </c>
      <c r="P312" s="66">
        <f t="shared" si="73"/>
        <v>0</v>
      </c>
      <c r="Q312" s="66">
        <f t="shared" si="73"/>
        <v>0</v>
      </c>
      <c r="R312" s="61">
        <f t="shared" si="73"/>
        <v>16</v>
      </c>
      <c r="S312" s="68">
        <f t="shared" si="61"/>
        <v>20</v>
      </c>
    </row>
    <row r="313" spans="1:19" hidden="1" x14ac:dyDescent="0.35">
      <c r="A313" s="59" t="s">
        <v>337</v>
      </c>
      <c r="B313" s="54" t="s">
        <v>338</v>
      </c>
      <c r="C313" s="60" t="s">
        <v>225</v>
      </c>
      <c r="D313" s="60">
        <v>4</v>
      </c>
      <c r="E313" s="60"/>
      <c r="F313" s="60"/>
      <c r="G313" s="60"/>
      <c r="H313" s="61">
        <f>SUM(D313:G313)</f>
        <v>4</v>
      </c>
      <c r="I313" s="60">
        <v>6</v>
      </c>
      <c r="J313" s="60"/>
      <c r="K313" s="60"/>
      <c r="L313" s="60"/>
      <c r="M313" s="61">
        <f>SUM(I313:L313)</f>
        <v>6</v>
      </c>
      <c r="N313" s="60">
        <v>23</v>
      </c>
      <c r="O313" s="60">
        <v>2</v>
      </c>
      <c r="P313" s="60"/>
      <c r="Q313" s="60"/>
      <c r="R313" s="61">
        <f>SUM(N313:Q313)</f>
        <v>25</v>
      </c>
      <c r="S313" s="68">
        <f t="shared" si="61"/>
        <v>35</v>
      </c>
    </row>
    <row r="314" spans="1:19" hidden="1" x14ac:dyDescent="0.35">
      <c r="A314" s="111" t="s">
        <v>339</v>
      </c>
      <c r="B314" s="54"/>
      <c r="C314" s="63" t="s">
        <v>227</v>
      </c>
      <c r="D314" s="63">
        <v>8</v>
      </c>
      <c r="E314" s="63"/>
      <c r="F314" s="63"/>
      <c r="G314" s="63"/>
      <c r="H314" s="61">
        <f>SUM(D314:G314)</f>
        <v>8</v>
      </c>
      <c r="I314" s="63">
        <v>3</v>
      </c>
      <c r="J314" s="63"/>
      <c r="K314" s="63"/>
      <c r="L314" s="63"/>
      <c r="M314" s="61">
        <f>SUM(I314:L314)</f>
        <v>3</v>
      </c>
      <c r="N314" s="63">
        <v>22</v>
      </c>
      <c r="O314" s="63">
        <v>2</v>
      </c>
      <c r="P314" s="63"/>
      <c r="Q314" s="63"/>
      <c r="R314" s="61">
        <f>SUM(N314:Q314)</f>
        <v>24</v>
      </c>
      <c r="S314" s="68">
        <f t="shared" si="61"/>
        <v>35</v>
      </c>
    </row>
    <row r="315" spans="1:19" hidden="1" x14ac:dyDescent="0.35">
      <c r="A315" s="111"/>
      <c r="B315" s="54"/>
      <c r="C315" s="60" t="s">
        <v>228</v>
      </c>
      <c r="D315" s="60">
        <v>8</v>
      </c>
      <c r="E315" s="60">
        <v>2</v>
      </c>
      <c r="F315" s="60"/>
      <c r="G315" s="60"/>
      <c r="H315" s="61">
        <f>SUM(D315:G315)</f>
        <v>10</v>
      </c>
      <c r="I315" s="60">
        <v>2</v>
      </c>
      <c r="J315" s="60"/>
      <c r="K315" s="60"/>
      <c r="L315" s="60"/>
      <c r="M315" s="61">
        <f>SUM(I315:L315)</f>
        <v>2</v>
      </c>
      <c r="N315" s="60">
        <v>20</v>
      </c>
      <c r="O315" s="60">
        <v>2</v>
      </c>
      <c r="P315" s="60">
        <v>1</v>
      </c>
      <c r="Q315" s="60"/>
      <c r="R315" s="61">
        <f>SUM(N315:Q315)</f>
        <v>23</v>
      </c>
      <c r="S315" s="68">
        <f t="shared" si="61"/>
        <v>35</v>
      </c>
    </row>
    <row r="316" spans="1:19" hidden="1" x14ac:dyDescent="0.35">
      <c r="A316" s="111"/>
      <c r="B316" s="54"/>
      <c r="C316" s="63" t="s">
        <v>235</v>
      </c>
      <c r="D316" s="63">
        <v>4</v>
      </c>
      <c r="E316" s="63"/>
      <c r="F316" s="63"/>
      <c r="G316" s="63"/>
      <c r="H316" s="61">
        <f>SUM(D316:G316)</f>
        <v>4</v>
      </c>
      <c r="I316" s="63">
        <v>5</v>
      </c>
      <c r="J316" s="63"/>
      <c r="K316" s="63"/>
      <c r="L316" s="63"/>
      <c r="M316" s="61">
        <f>SUM(I316:L316)</f>
        <v>5</v>
      </c>
      <c r="N316" s="63">
        <v>26</v>
      </c>
      <c r="O316" s="63">
        <v>3</v>
      </c>
      <c r="P316" s="63">
        <v>1</v>
      </c>
      <c r="Q316" s="63"/>
      <c r="R316" s="61">
        <f>SUM(N316:Q316)</f>
        <v>30</v>
      </c>
      <c r="S316" s="68">
        <f t="shared" si="61"/>
        <v>39</v>
      </c>
    </row>
    <row r="317" spans="1:19" x14ac:dyDescent="0.35">
      <c r="A317" s="66" t="s">
        <v>337</v>
      </c>
      <c r="B317" s="67" t="s">
        <v>338</v>
      </c>
      <c r="C317" s="66"/>
      <c r="D317" s="66">
        <f t="shared" ref="D317:R317" si="74">SUM(D313:D316)</f>
        <v>24</v>
      </c>
      <c r="E317" s="66">
        <f t="shared" si="74"/>
        <v>2</v>
      </c>
      <c r="F317" s="66">
        <f t="shared" si="74"/>
        <v>0</v>
      </c>
      <c r="G317" s="66">
        <f t="shared" si="74"/>
        <v>0</v>
      </c>
      <c r="H317" s="61">
        <f t="shared" si="74"/>
        <v>26</v>
      </c>
      <c r="I317" s="66">
        <f t="shared" si="74"/>
        <v>16</v>
      </c>
      <c r="J317" s="66">
        <f t="shared" si="74"/>
        <v>0</v>
      </c>
      <c r="K317" s="66">
        <f t="shared" si="74"/>
        <v>0</v>
      </c>
      <c r="L317" s="66">
        <f t="shared" si="74"/>
        <v>0</v>
      </c>
      <c r="M317" s="61">
        <f t="shared" si="74"/>
        <v>16</v>
      </c>
      <c r="N317" s="66">
        <f t="shared" si="74"/>
        <v>91</v>
      </c>
      <c r="O317" s="66">
        <f t="shared" si="74"/>
        <v>9</v>
      </c>
      <c r="P317" s="66">
        <f t="shared" si="74"/>
        <v>2</v>
      </c>
      <c r="Q317" s="66">
        <f t="shared" si="74"/>
        <v>0</v>
      </c>
      <c r="R317" s="61">
        <f t="shared" si="74"/>
        <v>102</v>
      </c>
      <c r="S317" s="68">
        <f t="shared" si="61"/>
        <v>144</v>
      </c>
    </row>
    <row r="318" spans="1:19" hidden="1" x14ac:dyDescent="0.35">
      <c r="A318" s="59" t="s">
        <v>340</v>
      </c>
      <c r="B318" s="54" t="s">
        <v>303</v>
      </c>
      <c r="C318" s="60" t="s">
        <v>225</v>
      </c>
      <c r="D318" s="60">
        <v>3</v>
      </c>
      <c r="E318" s="60"/>
      <c r="F318" s="60"/>
      <c r="G318" s="60"/>
      <c r="H318" s="61">
        <f>SUM(D318:G318)</f>
        <v>3</v>
      </c>
      <c r="I318" s="60">
        <v>1</v>
      </c>
      <c r="J318" s="60">
        <v>2</v>
      </c>
      <c r="K318" s="60"/>
      <c r="L318" s="60"/>
      <c r="M318" s="61">
        <f>SUM(I318:L318)</f>
        <v>3</v>
      </c>
      <c r="N318" s="60">
        <v>7</v>
      </c>
      <c r="O318" s="60">
        <v>2</v>
      </c>
      <c r="P318" s="60"/>
      <c r="Q318" s="60"/>
      <c r="R318" s="61">
        <f>SUM(N318:Q318)</f>
        <v>9</v>
      </c>
      <c r="S318" s="68">
        <f t="shared" si="61"/>
        <v>15</v>
      </c>
    </row>
    <row r="319" spans="1:19" hidden="1" x14ac:dyDescent="0.35">
      <c r="A319" s="111" t="s">
        <v>341</v>
      </c>
      <c r="B319" s="54"/>
      <c r="C319" s="63" t="s">
        <v>227</v>
      </c>
      <c r="D319" s="63">
        <v>2</v>
      </c>
      <c r="E319" s="63"/>
      <c r="F319" s="63"/>
      <c r="G319" s="63"/>
      <c r="H319" s="61">
        <f>SUM(D319:G319)</f>
        <v>2</v>
      </c>
      <c r="I319" s="63">
        <v>1</v>
      </c>
      <c r="J319" s="63">
        <v>1</v>
      </c>
      <c r="K319" s="63"/>
      <c r="L319" s="63"/>
      <c r="M319" s="61">
        <f>SUM(I319:L319)</f>
        <v>2</v>
      </c>
      <c r="N319" s="63">
        <v>8</v>
      </c>
      <c r="O319" s="63">
        <v>1</v>
      </c>
      <c r="P319" s="63"/>
      <c r="Q319" s="63"/>
      <c r="R319" s="61">
        <f>SUM(N319:Q319)</f>
        <v>9</v>
      </c>
      <c r="S319" s="68">
        <f t="shared" si="61"/>
        <v>13</v>
      </c>
    </row>
    <row r="320" spans="1:19" hidden="1" x14ac:dyDescent="0.35">
      <c r="A320" s="111"/>
      <c r="B320" s="54"/>
      <c r="C320" s="60" t="s">
        <v>228</v>
      </c>
      <c r="D320" s="60">
        <v>2</v>
      </c>
      <c r="E320" s="60">
        <v>1</v>
      </c>
      <c r="F320" s="60"/>
      <c r="G320" s="60"/>
      <c r="H320" s="61">
        <f>SUM(D320:G320)</f>
        <v>3</v>
      </c>
      <c r="I320" s="60">
        <v>3</v>
      </c>
      <c r="J320" s="60"/>
      <c r="K320" s="60"/>
      <c r="L320" s="60"/>
      <c r="M320" s="61">
        <f>SUM(I320:L320)</f>
        <v>3</v>
      </c>
      <c r="N320" s="60">
        <v>4</v>
      </c>
      <c r="O320" s="60"/>
      <c r="P320" s="60"/>
      <c r="Q320" s="60"/>
      <c r="R320" s="61">
        <f>SUM(N320:Q320)</f>
        <v>4</v>
      </c>
      <c r="S320" s="68">
        <f t="shared" si="61"/>
        <v>10</v>
      </c>
    </row>
    <row r="321" spans="1:19" hidden="1" x14ac:dyDescent="0.35">
      <c r="A321" s="111"/>
      <c r="B321" s="54"/>
      <c r="C321" s="63" t="s">
        <v>235</v>
      </c>
      <c r="D321" s="63"/>
      <c r="E321" s="63"/>
      <c r="F321" s="63"/>
      <c r="G321" s="63"/>
      <c r="H321" s="61">
        <f>SUM(D321:G321)</f>
        <v>0</v>
      </c>
      <c r="I321" s="63">
        <v>1</v>
      </c>
      <c r="J321" s="63"/>
      <c r="K321" s="63"/>
      <c r="L321" s="63"/>
      <c r="M321" s="61">
        <f>SUM(I321:L321)</f>
        <v>1</v>
      </c>
      <c r="N321" s="63">
        <v>3</v>
      </c>
      <c r="O321" s="63"/>
      <c r="P321" s="63"/>
      <c r="Q321" s="63"/>
      <c r="R321" s="61">
        <f>SUM(N321:Q321)</f>
        <v>3</v>
      </c>
      <c r="S321" s="68">
        <f t="shared" si="61"/>
        <v>4</v>
      </c>
    </row>
    <row r="322" spans="1:19" x14ac:dyDescent="0.35">
      <c r="A322" s="66" t="s">
        <v>340</v>
      </c>
      <c r="B322" s="67" t="s">
        <v>303</v>
      </c>
      <c r="C322" s="66"/>
      <c r="D322" s="66">
        <f t="shared" ref="D322:R322" si="75">SUM(D318:D321)</f>
        <v>7</v>
      </c>
      <c r="E322" s="66">
        <f t="shared" si="75"/>
        <v>1</v>
      </c>
      <c r="F322" s="66">
        <f t="shared" si="75"/>
        <v>0</v>
      </c>
      <c r="G322" s="66">
        <f t="shared" si="75"/>
        <v>0</v>
      </c>
      <c r="H322" s="61">
        <f t="shared" si="75"/>
        <v>8</v>
      </c>
      <c r="I322" s="66">
        <f t="shared" si="75"/>
        <v>6</v>
      </c>
      <c r="J322" s="66">
        <f t="shared" si="75"/>
        <v>3</v>
      </c>
      <c r="K322" s="66">
        <f t="shared" si="75"/>
        <v>0</v>
      </c>
      <c r="L322" s="66">
        <f t="shared" si="75"/>
        <v>0</v>
      </c>
      <c r="M322" s="61">
        <f t="shared" si="75"/>
        <v>9</v>
      </c>
      <c r="N322" s="66">
        <f t="shared" si="75"/>
        <v>22</v>
      </c>
      <c r="O322" s="66">
        <f t="shared" si="75"/>
        <v>3</v>
      </c>
      <c r="P322" s="66">
        <f t="shared" si="75"/>
        <v>0</v>
      </c>
      <c r="Q322" s="66">
        <f t="shared" si="75"/>
        <v>0</v>
      </c>
      <c r="R322" s="61">
        <f t="shared" si="75"/>
        <v>25</v>
      </c>
      <c r="S322" s="68">
        <f t="shared" si="61"/>
        <v>42</v>
      </c>
    </row>
    <row r="323" spans="1:19" hidden="1" x14ac:dyDescent="0.35">
      <c r="A323" s="59" t="s">
        <v>342</v>
      </c>
      <c r="B323" s="54" t="s">
        <v>330</v>
      </c>
      <c r="C323" s="60" t="s">
        <v>225</v>
      </c>
      <c r="D323" s="60">
        <v>3</v>
      </c>
      <c r="E323" s="60"/>
      <c r="F323" s="60"/>
      <c r="G323" s="60"/>
      <c r="H323" s="61">
        <f>SUM(D323:G323)</f>
        <v>3</v>
      </c>
      <c r="I323" s="60">
        <v>3</v>
      </c>
      <c r="J323" s="60"/>
      <c r="K323" s="60"/>
      <c r="L323" s="60"/>
      <c r="M323" s="61">
        <f>SUM(I323:L323)</f>
        <v>3</v>
      </c>
      <c r="N323" s="60">
        <v>5</v>
      </c>
      <c r="O323" s="60"/>
      <c r="P323" s="60"/>
      <c r="Q323" s="60"/>
      <c r="R323" s="61">
        <f>SUM(N323:Q323)</f>
        <v>5</v>
      </c>
      <c r="S323" s="68">
        <f t="shared" si="61"/>
        <v>11</v>
      </c>
    </row>
    <row r="324" spans="1:19" hidden="1" x14ac:dyDescent="0.35">
      <c r="A324" s="111" t="s">
        <v>343</v>
      </c>
      <c r="B324" s="54"/>
      <c r="C324" s="63" t="s">
        <v>227</v>
      </c>
      <c r="D324" s="63"/>
      <c r="E324" s="63"/>
      <c r="F324" s="63"/>
      <c r="G324" s="63"/>
      <c r="H324" s="61">
        <f>SUM(D324:G324)</f>
        <v>0</v>
      </c>
      <c r="I324" s="63"/>
      <c r="J324" s="63"/>
      <c r="K324" s="63"/>
      <c r="L324" s="63"/>
      <c r="M324" s="61">
        <f>SUM(I324:L324)</f>
        <v>0</v>
      </c>
      <c r="N324" s="63"/>
      <c r="O324" s="63"/>
      <c r="P324" s="63"/>
      <c r="Q324" s="63"/>
      <c r="R324" s="61">
        <f>SUM(N324:Q324)</f>
        <v>0</v>
      </c>
      <c r="S324" s="68">
        <f t="shared" si="61"/>
        <v>0</v>
      </c>
    </row>
    <row r="325" spans="1:19" hidden="1" x14ac:dyDescent="0.35">
      <c r="A325" s="111"/>
      <c r="B325" s="54"/>
      <c r="C325" s="60" t="s">
        <v>228</v>
      </c>
      <c r="D325" s="60"/>
      <c r="E325" s="60"/>
      <c r="F325" s="60"/>
      <c r="G325" s="60"/>
      <c r="H325" s="61">
        <f>SUM(D325:G325)</f>
        <v>0</v>
      </c>
      <c r="I325" s="60"/>
      <c r="J325" s="60"/>
      <c r="K325" s="60"/>
      <c r="L325" s="60"/>
      <c r="M325" s="61">
        <f>SUM(I325:L325)</f>
        <v>0</v>
      </c>
      <c r="N325" s="60"/>
      <c r="O325" s="60"/>
      <c r="P325" s="60"/>
      <c r="Q325" s="60"/>
      <c r="R325" s="61">
        <f>SUM(N325:Q325)</f>
        <v>0</v>
      </c>
      <c r="S325" s="68">
        <f t="shared" ref="S325:S388" si="76">SUM(H325,M325,R325)</f>
        <v>0</v>
      </c>
    </row>
    <row r="326" spans="1:19" hidden="1" x14ac:dyDescent="0.35">
      <c r="A326" s="111"/>
      <c r="B326" s="54"/>
      <c r="C326" s="63" t="s">
        <v>235</v>
      </c>
      <c r="D326" s="63"/>
      <c r="E326" s="63"/>
      <c r="F326" s="63"/>
      <c r="G326" s="63"/>
      <c r="H326" s="61">
        <f>SUM(D326:G326)</f>
        <v>0</v>
      </c>
      <c r="I326" s="63"/>
      <c r="J326" s="63"/>
      <c r="K326" s="63"/>
      <c r="L326" s="63"/>
      <c r="M326" s="61">
        <f>SUM(I326:L326)</f>
        <v>0</v>
      </c>
      <c r="N326" s="63"/>
      <c r="O326" s="63"/>
      <c r="P326" s="63"/>
      <c r="Q326" s="63"/>
      <c r="R326" s="61">
        <f>SUM(N326:Q326)</f>
        <v>0</v>
      </c>
      <c r="S326" s="68">
        <f t="shared" si="76"/>
        <v>0</v>
      </c>
    </row>
    <row r="327" spans="1:19" x14ac:dyDescent="0.35">
      <c r="A327" s="66" t="s">
        <v>342</v>
      </c>
      <c r="B327" s="67" t="s">
        <v>330</v>
      </c>
      <c r="C327" s="66"/>
      <c r="D327" s="66">
        <f t="shared" ref="D327:R327" si="77">SUM(D323:D326)</f>
        <v>3</v>
      </c>
      <c r="E327" s="66">
        <f t="shared" si="77"/>
        <v>0</v>
      </c>
      <c r="F327" s="66">
        <f t="shared" si="77"/>
        <v>0</v>
      </c>
      <c r="G327" s="66">
        <f t="shared" si="77"/>
        <v>0</v>
      </c>
      <c r="H327" s="61">
        <f t="shared" si="77"/>
        <v>3</v>
      </c>
      <c r="I327" s="66">
        <f t="shared" si="77"/>
        <v>3</v>
      </c>
      <c r="J327" s="66">
        <f t="shared" si="77"/>
        <v>0</v>
      </c>
      <c r="K327" s="66">
        <f t="shared" si="77"/>
        <v>0</v>
      </c>
      <c r="L327" s="66">
        <f t="shared" si="77"/>
        <v>0</v>
      </c>
      <c r="M327" s="61">
        <f t="shared" si="77"/>
        <v>3</v>
      </c>
      <c r="N327" s="66">
        <f t="shared" si="77"/>
        <v>5</v>
      </c>
      <c r="O327" s="66">
        <f t="shared" si="77"/>
        <v>0</v>
      </c>
      <c r="P327" s="66">
        <f t="shared" si="77"/>
        <v>0</v>
      </c>
      <c r="Q327" s="66">
        <f t="shared" si="77"/>
        <v>0</v>
      </c>
      <c r="R327" s="61">
        <f t="shared" si="77"/>
        <v>5</v>
      </c>
      <c r="S327" s="68">
        <f t="shared" si="76"/>
        <v>11</v>
      </c>
    </row>
    <row r="328" spans="1:19" hidden="1" x14ac:dyDescent="0.35">
      <c r="A328" s="59" t="s">
        <v>344</v>
      </c>
      <c r="B328" s="54" t="s">
        <v>345</v>
      </c>
      <c r="C328" s="60" t="s">
        <v>225</v>
      </c>
      <c r="D328" s="60"/>
      <c r="E328" s="60"/>
      <c r="F328" s="60"/>
      <c r="G328" s="60"/>
      <c r="H328" s="61">
        <f>SUM(D328:G328)</f>
        <v>0</v>
      </c>
      <c r="I328" s="60">
        <v>3</v>
      </c>
      <c r="J328" s="60"/>
      <c r="K328" s="60"/>
      <c r="L328" s="60"/>
      <c r="M328" s="61">
        <f>SUM(I328:L328)</f>
        <v>3</v>
      </c>
      <c r="N328" s="60">
        <v>9</v>
      </c>
      <c r="O328" s="60"/>
      <c r="P328" s="60"/>
      <c r="Q328" s="60"/>
      <c r="R328" s="61">
        <f>SUM(N328:Q328)</f>
        <v>9</v>
      </c>
      <c r="S328" s="68">
        <f t="shared" si="76"/>
        <v>12</v>
      </c>
    </row>
    <row r="329" spans="1:19" hidden="1" x14ac:dyDescent="0.35">
      <c r="A329" s="111" t="s">
        <v>346</v>
      </c>
      <c r="B329" s="54"/>
      <c r="C329" s="63" t="s">
        <v>227</v>
      </c>
      <c r="D329" s="63">
        <v>1</v>
      </c>
      <c r="E329" s="63"/>
      <c r="F329" s="63"/>
      <c r="G329" s="63"/>
      <c r="H329" s="61">
        <f>SUM(D329:G329)</f>
        <v>1</v>
      </c>
      <c r="I329" s="63">
        <v>2</v>
      </c>
      <c r="J329" s="63"/>
      <c r="K329" s="63"/>
      <c r="L329" s="63"/>
      <c r="M329" s="61">
        <f>SUM(I329:L329)</f>
        <v>2</v>
      </c>
      <c r="N329" s="63">
        <v>10</v>
      </c>
      <c r="O329" s="63"/>
      <c r="P329" s="63"/>
      <c r="Q329" s="63"/>
      <c r="R329" s="61">
        <f>SUM(N329:Q329)</f>
        <v>10</v>
      </c>
      <c r="S329" s="68">
        <f t="shared" si="76"/>
        <v>13</v>
      </c>
    </row>
    <row r="330" spans="1:19" hidden="1" x14ac:dyDescent="0.35">
      <c r="A330" s="111"/>
      <c r="B330" s="54"/>
      <c r="C330" s="60" t="s">
        <v>228</v>
      </c>
      <c r="D330" s="60">
        <v>1</v>
      </c>
      <c r="E330" s="60"/>
      <c r="F330" s="60"/>
      <c r="G330" s="60"/>
      <c r="H330" s="61">
        <f>SUM(D330:G330)</f>
        <v>1</v>
      </c>
      <c r="I330" s="60">
        <v>2</v>
      </c>
      <c r="J330" s="60"/>
      <c r="K330" s="60"/>
      <c r="L330" s="60"/>
      <c r="M330" s="61">
        <f>SUM(I330:L330)</f>
        <v>2</v>
      </c>
      <c r="N330" s="60">
        <v>10</v>
      </c>
      <c r="O330" s="60"/>
      <c r="P330" s="60"/>
      <c r="Q330" s="60"/>
      <c r="R330" s="61">
        <f>SUM(N330:Q330)</f>
        <v>10</v>
      </c>
      <c r="S330" s="68">
        <f t="shared" si="76"/>
        <v>13</v>
      </c>
    </row>
    <row r="331" spans="1:19" hidden="1" x14ac:dyDescent="0.35">
      <c r="A331" s="111"/>
      <c r="B331" s="54"/>
      <c r="C331" s="63" t="s">
        <v>235</v>
      </c>
      <c r="D331" s="63">
        <v>3</v>
      </c>
      <c r="E331" s="63"/>
      <c r="F331" s="63"/>
      <c r="G331" s="63"/>
      <c r="H331" s="61">
        <f>SUM(D331:G331)</f>
        <v>3</v>
      </c>
      <c r="I331" s="63">
        <v>1</v>
      </c>
      <c r="J331" s="63"/>
      <c r="K331" s="63"/>
      <c r="L331" s="63"/>
      <c r="M331" s="61">
        <f>SUM(I331:L331)</f>
        <v>1</v>
      </c>
      <c r="N331" s="63">
        <v>8</v>
      </c>
      <c r="O331" s="63"/>
      <c r="P331" s="63"/>
      <c r="Q331" s="63"/>
      <c r="R331" s="61">
        <f>SUM(N331:Q331)</f>
        <v>8</v>
      </c>
      <c r="S331" s="68">
        <f t="shared" si="76"/>
        <v>12</v>
      </c>
    </row>
    <row r="332" spans="1:19" x14ac:dyDescent="0.35">
      <c r="A332" s="66" t="s">
        <v>344</v>
      </c>
      <c r="B332" s="67" t="s">
        <v>345</v>
      </c>
      <c r="C332" s="66"/>
      <c r="D332" s="66">
        <f t="shared" ref="D332:R332" si="78">SUM(D328:D331)</f>
        <v>5</v>
      </c>
      <c r="E332" s="66">
        <f t="shared" si="78"/>
        <v>0</v>
      </c>
      <c r="F332" s="66">
        <f t="shared" si="78"/>
        <v>0</v>
      </c>
      <c r="G332" s="66">
        <f t="shared" si="78"/>
        <v>0</v>
      </c>
      <c r="H332" s="61">
        <f t="shared" si="78"/>
        <v>5</v>
      </c>
      <c r="I332" s="66">
        <f t="shared" si="78"/>
        <v>8</v>
      </c>
      <c r="J332" s="66">
        <f t="shared" si="78"/>
        <v>0</v>
      </c>
      <c r="K332" s="66">
        <f t="shared" si="78"/>
        <v>0</v>
      </c>
      <c r="L332" s="66">
        <f t="shared" si="78"/>
        <v>0</v>
      </c>
      <c r="M332" s="61">
        <f t="shared" si="78"/>
        <v>8</v>
      </c>
      <c r="N332" s="66">
        <f t="shared" si="78"/>
        <v>37</v>
      </c>
      <c r="O332" s="66">
        <f t="shared" si="78"/>
        <v>0</v>
      </c>
      <c r="P332" s="66">
        <f t="shared" si="78"/>
        <v>0</v>
      </c>
      <c r="Q332" s="66">
        <f t="shared" si="78"/>
        <v>0</v>
      </c>
      <c r="R332" s="61">
        <f t="shared" si="78"/>
        <v>37</v>
      </c>
      <c r="S332" s="68">
        <f t="shared" si="76"/>
        <v>50</v>
      </c>
    </row>
    <row r="333" spans="1:19" hidden="1" x14ac:dyDescent="0.35">
      <c r="A333" s="59" t="s">
        <v>347</v>
      </c>
      <c r="B333" s="54" t="s">
        <v>348</v>
      </c>
      <c r="C333" s="60" t="s">
        <v>225</v>
      </c>
      <c r="D333" s="60">
        <v>3</v>
      </c>
      <c r="E333" s="60"/>
      <c r="F333" s="60"/>
      <c r="G333" s="60"/>
      <c r="H333" s="61">
        <f>SUM(D333:G333)</f>
        <v>3</v>
      </c>
      <c r="I333" s="60"/>
      <c r="J333" s="60"/>
      <c r="K333" s="60"/>
      <c r="L333" s="60"/>
      <c r="M333" s="61">
        <f>SUM(I333:L333)</f>
        <v>0</v>
      </c>
      <c r="N333" s="60">
        <v>9</v>
      </c>
      <c r="O333" s="60"/>
      <c r="P333" s="60"/>
      <c r="Q333" s="60"/>
      <c r="R333" s="61">
        <f>SUM(N333:Q333)</f>
        <v>9</v>
      </c>
      <c r="S333" s="68">
        <f t="shared" si="76"/>
        <v>12</v>
      </c>
    </row>
    <row r="334" spans="1:19" hidden="1" x14ac:dyDescent="0.35">
      <c r="A334" s="111" t="s">
        <v>349</v>
      </c>
      <c r="B334" s="54"/>
      <c r="C334" s="63" t="s">
        <v>227</v>
      </c>
      <c r="D334" s="63">
        <v>2</v>
      </c>
      <c r="E334" s="63"/>
      <c r="F334" s="63"/>
      <c r="G334" s="63"/>
      <c r="H334" s="61">
        <f>SUM(D334:G334)</f>
        <v>2</v>
      </c>
      <c r="I334" s="63">
        <v>2</v>
      </c>
      <c r="J334" s="63"/>
      <c r="K334" s="63"/>
      <c r="L334" s="63"/>
      <c r="M334" s="61">
        <f>SUM(I334:L334)</f>
        <v>2</v>
      </c>
      <c r="N334" s="63">
        <v>11</v>
      </c>
      <c r="O334" s="63"/>
      <c r="P334" s="63"/>
      <c r="Q334" s="63"/>
      <c r="R334" s="61">
        <f>SUM(N334:Q334)</f>
        <v>11</v>
      </c>
      <c r="S334" s="68">
        <f t="shared" si="76"/>
        <v>15</v>
      </c>
    </row>
    <row r="335" spans="1:19" hidden="1" x14ac:dyDescent="0.35">
      <c r="A335" s="111"/>
      <c r="B335" s="54"/>
      <c r="C335" s="60" t="s">
        <v>228</v>
      </c>
      <c r="D335" s="60">
        <v>2</v>
      </c>
      <c r="E335" s="60"/>
      <c r="F335" s="60"/>
      <c r="G335" s="60"/>
      <c r="H335" s="61">
        <f>SUM(D335:G335)</f>
        <v>2</v>
      </c>
      <c r="I335" s="60">
        <v>2</v>
      </c>
      <c r="J335" s="60"/>
      <c r="K335" s="60"/>
      <c r="L335" s="60"/>
      <c r="M335" s="61">
        <f>SUM(I335:L335)</f>
        <v>2</v>
      </c>
      <c r="N335" s="60">
        <v>14</v>
      </c>
      <c r="O335" s="60"/>
      <c r="P335" s="60"/>
      <c r="Q335" s="60"/>
      <c r="R335" s="61">
        <f>SUM(N335:Q335)</f>
        <v>14</v>
      </c>
      <c r="S335" s="68">
        <f t="shared" si="76"/>
        <v>18</v>
      </c>
    </row>
    <row r="336" spans="1:19" hidden="1" x14ac:dyDescent="0.35">
      <c r="A336" s="111"/>
      <c r="B336" s="54"/>
      <c r="C336" s="63" t="s">
        <v>235</v>
      </c>
      <c r="D336" s="63">
        <v>2</v>
      </c>
      <c r="E336" s="63"/>
      <c r="F336" s="63"/>
      <c r="G336" s="63"/>
      <c r="H336" s="61">
        <f>SUM(D336:G336)</f>
        <v>2</v>
      </c>
      <c r="I336" s="63">
        <v>5</v>
      </c>
      <c r="J336" s="63"/>
      <c r="K336" s="63"/>
      <c r="L336" s="63"/>
      <c r="M336" s="61">
        <f>SUM(I336:L336)</f>
        <v>5</v>
      </c>
      <c r="N336" s="63">
        <v>19</v>
      </c>
      <c r="O336" s="63"/>
      <c r="P336" s="63"/>
      <c r="Q336" s="63"/>
      <c r="R336" s="61">
        <f>SUM(N336:Q336)</f>
        <v>19</v>
      </c>
      <c r="S336" s="68">
        <f t="shared" si="76"/>
        <v>26</v>
      </c>
    </row>
    <row r="337" spans="1:19" x14ac:dyDescent="0.35">
      <c r="A337" s="66" t="s">
        <v>347</v>
      </c>
      <c r="B337" s="67" t="s">
        <v>348</v>
      </c>
      <c r="C337" s="66"/>
      <c r="D337" s="66">
        <f t="shared" ref="D337:R337" si="79">SUM(D333:D336)</f>
        <v>9</v>
      </c>
      <c r="E337" s="66">
        <f t="shared" si="79"/>
        <v>0</v>
      </c>
      <c r="F337" s="66">
        <f t="shared" si="79"/>
        <v>0</v>
      </c>
      <c r="G337" s="66">
        <f t="shared" si="79"/>
        <v>0</v>
      </c>
      <c r="H337" s="61">
        <f t="shared" si="79"/>
        <v>9</v>
      </c>
      <c r="I337" s="66">
        <f t="shared" si="79"/>
        <v>9</v>
      </c>
      <c r="J337" s="66">
        <f t="shared" si="79"/>
        <v>0</v>
      </c>
      <c r="K337" s="66">
        <f t="shared" si="79"/>
        <v>0</v>
      </c>
      <c r="L337" s="66">
        <f t="shared" si="79"/>
        <v>0</v>
      </c>
      <c r="M337" s="61">
        <f t="shared" si="79"/>
        <v>9</v>
      </c>
      <c r="N337" s="66">
        <f t="shared" si="79"/>
        <v>53</v>
      </c>
      <c r="O337" s="66">
        <f t="shared" si="79"/>
        <v>0</v>
      </c>
      <c r="P337" s="66">
        <f t="shared" si="79"/>
        <v>0</v>
      </c>
      <c r="Q337" s="66">
        <f t="shared" si="79"/>
        <v>0</v>
      </c>
      <c r="R337" s="61">
        <f t="shared" si="79"/>
        <v>53</v>
      </c>
      <c r="S337" s="68">
        <f t="shared" si="76"/>
        <v>71</v>
      </c>
    </row>
    <row r="338" spans="1:19" hidden="1" x14ac:dyDescent="0.35">
      <c r="A338" s="59" t="s">
        <v>350</v>
      </c>
      <c r="B338" s="54" t="s">
        <v>351</v>
      </c>
      <c r="C338" s="60" t="s">
        <v>225</v>
      </c>
      <c r="D338" s="60">
        <v>3</v>
      </c>
      <c r="E338" s="60"/>
      <c r="F338" s="60"/>
      <c r="G338" s="60"/>
      <c r="H338" s="61">
        <f>SUM(D338:G338)</f>
        <v>3</v>
      </c>
      <c r="I338" s="60">
        <v>3</v>
      </c>
      <c r="J338" s="60"/>
      <c r="K338" s="60"/>
      <c r="L338" s="60"/>
      <c r="M338" s="61">
        <f>SUM(I338:L338)</f>
        <v>3</v>
      </c>
      <c r="N338" s="60">
        <v>20</v>
      </c>
      <c r="O338" s="60">
        <v>2</v>
      </c>
      <c r="P338" s="60"/>
      <c r="Q338" s="60"/>
      <c r="R338" s="61">
        <f>SUM(N338:Q338)</f>
        <v>22</v>
      </c>
      <c r="S338" s="68">
        <f t="shared" si="76"/>
        <v>28</v>
      </c>
    </row>
    <row r="339" spans="1:19" hidden="1" x14ac:dyDescent="0.35">
      <c r="A339" s="111" t="s">
        <v>278</v>
      </c>
      <c r="B339" s="54"/>
      <c r="C339" s="63" t="s">
        <v>227</v>
      </c>
      <c r="D339" s="63">
        <v>15</v>
      </c>
      <c r="E339" s="63"/>
      <c r="F339" s="63"/>
      <c r="G339" s="63"/>
      <c r="H339" s="61">
        <f>SUM(D339:G339)</f>
        <v>15</v>
      </c>
      <c r="I339" s="63">
        <v>6</v>
      </c>
      <c r="J339" s="63"/>
      <c r="K339" s="63"/>
      <c r="L339" s="63"/>
      <c r="M339" s="61">
        <f>SUM(I339:L339)</f>
        <v>6</v>
      </c>
      <c r="N339" s="63">
        <v>16</v>
      </c>
      <c r="O339" s="63">
        <v>4</v>
      </c>
      <c r="P339" s="63"/>
      <c r="Q339" s="63"/>
      <c r="R339" s="61">
        <f>SUM(N339:Q339)</f>
        <v>20</v>
      </c>
      <c r="S339" s="68">
        <f t="shared" si="76"/>
        <v>41</v>
      </c>
    </row>
    <row r="340" spans="1:19" hidden="1" x14ac:dyDescent="0.35">
      <c r="A340" s="111"/>
      <c r="B340" s="54"/>
      <c r="C340" s="60" t="s">
        <v>228</v>
      </c>
      <c r="D340" s="60">
        <v>13</v>
      </c>
      <c r="E340" s="60">
        <v>1</v>
      </c>
      <c r="F340" s="60"/>
      <c r="G340" s="60"/>
      <c r="H340" s="61">
        <f>SUM(D340:G340)</f>
        <v>14</v>
      </c>
      <c r="I340" s="60"/>
      <c r="J340" s="60"/>
      <c r="K340" s="60"/>
      <c r="L340" s="60"/>
      <c r="M340" s="61">
        <f>SUM(I340:L340)</f>
        <v>0</v>
      </c>
      <c r="N340" s="60">
        <v>17</v>
      </c>
      <c r="O340" s="60">
        <v>4</v>
      </c>
      <c r="P340" s="60"/>
      <c r="Q340" s="60"/>
      <c r="R340" s="61">
        <f>SUM(N340:Q340)</f>
        <v>21</v>
      </c>
      <c r="S340" s="68">
        <f t="shared" si="76"/>
        <v>35</v>
      </c>
    </row>
    <row r="341" spans="1:19" hidden="1" x14ac:dyDescent="0.35">
      <c r="A341" s="111"/>
      <c r="B341" s="54"/>
      <c r="C341" s="63" t="s">
        <v>235</v>
      </c>
      <c r="D341" s="63">
        <v>8</v>
      </c>
      <c r="E341" s="63">
        <v>2</v>
      </c>
      <c r="F341" s="63"/>
      <c r="G341" s="63"/>
      <c r="H341" s="61">
        <f>SUM(D341:G341)</f>
        <v>10</v>
      </c>
      <c r="I341" s="63">
        <v>5</v>
      </c>
      <c r="J341" s="63">
        <v>1</v>
      </c>
      <c r="K341" s="63"/>
      <c r="L341" s="63"/>
      <c r="M341" s="61">
        <f>SUM(I341:L341)</f>
        <v>6</v>
      </c>
      <c r="N341" s="63">
        <v>13</v>
      </c>
      <c r="O341" s="63">
        <v>2</v>
      </c>
      <c r="P341" s="63"/>
      <c r="Q341" s="63"/>
      <c r="R341" s="61">
        <f>SUM(N341:Q341)</f>
        <v>15</v>
      </c>
      <c r="S341" s="68">
        <f t="shared" si="76"/>
        <v>31</v>
      </c>
    </row>
    <row r="342" spans="1:19" hidden="1" x14ac:dyDescent="0.35">
      <c r="A342" s="66" t="s">
        <v>352</v>
      </c>
      <c r="B342" s="67"/>
      <c r="C342" s="66"/>
      <c r="D342" s="66">
        <f t="shared" ref="D342:R342" si="80">SUM(D338:D341)</f>
        <v>39</v>
      </c>
      <c r="E342" s="66">
        <f t="shared" si="80"/>
        <v>3</v>
      </c>
      <c r="F342" s="66">
        <f t="shared" si="80"/>
        <v>0</v>
      </c>
      <c r="G342" s="66">
        <f t="shared" si="80"/>
        <v>0</v>
      </c>
      <c r="H342" s="61">
        <f t="shared" si="80"/>
        <v>42</v>
      </c>
      <c r="I342" s="66">
        <f t="shared" si="80"/>
        <v>14</v>
      </c>
      <c r="J342" s="66">
        <f t="shared" si="80"/>
        <v>1</v>
      </c>
      <c r="K342" s="66">
        <f t="shared" si="80"/>
        <v>0</v>
      </c>
      <c r="L342" s="66">
        <f t="shared" si="80"/>
        <v>0</v>
      </c>
      <c r="M342" s="61">
        <f t="shared" si="80"/>
        <v>15</v>
      </c>
      <c r="N342" s="66">
        <f t="shared" si="80"/>
        <v>66</v>
      </c>
      <c r="O342" s="66">
        <f t="shared" si="80"/>
        <v>12</v>
      </c>
      <c r="P342" s="66">
        <f t="shared" si="80"/>
        <v>0</v>
      </c>
      <c r="Q342" s="66">
        <f t="shared" si="80"/>
        <v>0</v>
      </c>
      <c r="R342" s="61">
        <f t="shared" si="80"/>
        <v>78</v>
      </c>
      <c r="S342" s="68">
        <f t="shared" si="76"/>
        <v>135</v>
      </c>
    </row>
    <row r="343" spans="1:19" hidden="1" x14ac:dyDescent="0.35">
      <c r="A343" s="111" t="s">
        <v>249</v>
      </c>
      <c r="B343" s="54"/>
      <c r="C343" s="60" t="s">
        <v>225</v>
      </c>
      <c r="D343" s="60">
        <v>3</v>
      </c>
      <c r="E343" s="60"/>
      <c r="F343" s="60"/>
      <c r="G343" s="60"/>
      <c r="H343" s="61">
        <f>SUM(D343:F343,G343)</f>
        <v>3</v>
      </c>
      <c r="I343" s="60">
        <v>4</v>
      </c>
      <c r="J343" s="60"/>
      <c r="K343" s="60"/>
      <c r="L343" s="60"/>
      <c r="M343" s="61">
        <f>SUM(I343:L343)</f>
        <v>4</v>
      </c>
      <c r="N343" s="60">
        <v>15</v>
      </c>
      <c r="O343" s="60">
        <v>2</v>
      </c>
      <c r="P343" s="60"/>
      <c r="Q343" s="60"/>
      <c r="R343" s="61">
        <f>SUM(N343:Q343)</f>
        <v>17</v>
      </c>
      <c r="S343" s="68">
        <f t="shared" si="76"/>
        <v>24</v>
      </c>
    </row>
    <row r="344" spans="1:19" hidden="1" x14ac:dyDescent="0.35">
      <c r="A344" s="111"/>
      <c r="B344" s="54"/>
      <c r="C344" s="63" t="s">
        <v>227</v>
      </c>
      <c r="D344" s="63">
        <v>7</v>
      </c>
      <c r="E344" s="63"/>
      <c r="F344" s="63"/>
      <c r="G344" s="63"/>
      <c r="H344" s="61">
        <f>SUM(D344:G344)</f>
        <v>7</v>
      </c>
      <c r="I344" s="63">
        <v>2</v>
      </c>
      <c r="J344" s="63"/>
      <c r="K344" s="63"/>
      <c r="L344" s="63"/>
      <c r="M344" s="61">
        <f>SUM(I344:L344)</f>
        <v>2</v>
      </c>
      <c r="N344" s="63">
        <v>7</v>
      </c>
      <c r="O344" s="63">
        <v>3</v>
      </c>
      <c r="P344" s="63"/>
      <c r="Q344" s="63"/>
      <c r="R344" s="61">
        <f>SUM(N344:Q344)</f>
        <v>10</v>
      </c>
      <c r="S344" s="68">
        <f t="shared" si="76"/>
        <v>19</v>
      </c>
    </row>
    <row r="345" spans="1:19" hidden="1" x14ac:dyDescent="0.35">
      <c r="A345" s="111"/>
      <c r="B345" s="54"/>
      <c r="C345" s="60" t="s">
        <v>228</v>
      </c>
      <c r="D345" s="60">
        <v>3</v>
      </c>
      <c r="E345" s="60">
        <v>1</v>
      </c>
      <c r="F345" s="60"/>
      <c r="G345" s="60"/>
      <c r="H345" s="61">
        <f>SUM(D345:G345)</f>
        <v>4</v>
      </c>
      <c r="I345" s="60">
        <v>1</v>
      </c>
      <c r="J345" s="60"/>
      <c r="K345" s="60"/>
      <c r="L345" s="60"/>
      <c r="M345" s="61">
        <f>SUM(I345:L345)</f>
        <v>1</v>
      </c>
      <c r="N345" s="60">
        <v>19</v>
      </c>
      <c r="O345" s="60">
        <v>1</v>
      </c>
      <c r="P345" s="60"/>
      <c r="Q345" s="60"/>
      <c r="R345" s="61">
        <f>SUM(N345:Q345)</f>
        <v>20</v>
      </c>
      <c r="S345" s="68">
        <f t="shared" si="76"/>
        <v>25</v>
      </c>
    </row>
    <row r="346" spans="1:19" hidden="1" x14ac:dyDescent="0.35">
      <c r="A346" s="111"/>
      <c r="B346" s="54"/>
      <c r="C346" s="63" t="s">
        <v>235</v>
      </c>
      <c r="D346" s="63">
        <v>2</v>
      </c>
      <c r="E346" s="63">
        <v>1</v>
      </c>
      <c r="F346" s="63"/>
      <c r="G346" s="63"/>
      <c r="H346" s="61">
        <f>SUM(D346:G346)</f>
        <v>3</v>
      </c>
      <c r="I346" s="63">
        <v>6</v>
      </c>
      <c r="J346" s="63"/>
      <c r="K346" s="63"/>
      <c r="L346" s="63"/>
      <c r="M346" s="61">
        <f>SUM(I346:L346)</f>
        <v>6</v>
      </c>
      <c r="N346" s="63">
        <v>24</v>
      </c>
      <c r="O346" s="63">
        <v>1</v>
      </c>
      <c r="P346" s="63"/>
      <c r="Q346" s="63"/>
      <c r="R346" s="61">
        <f>SUM(N346:Q346)</f>
        <v>25</v>
      </c>
      <c r="S346" s="68">
        <f t="shared" si="76"/>
        <v>34</v>
      </c>
    </row>
    <row r="347" spans="1:19" hidden="1" x14ac:dyDescent="0.35">
      <c r="A347" s="76" t="s">
        <v>249</v>
      </c>
      <c r="B347" s="67"/>
      <c r="C347" s="66"/>
      <c r="D347" s="66">
        <f t="shared" ref="D347:R347" si="81">SUM(D343:D346)</f>
        <v>15</v>
      </c>
      <c r="E347" s="66">
        <f t="shared" si="81"/>
        <v>2</v>
      </c>
      <c r="F347" s="66">
        <f t="shared" si="81"/>
        <v>0</v>
      </c>
      <c r="G347" s="66">
        <f t="shared" si="81"/>
        <v>0</v>
      </c>
      <c r="H347" s="61">
        <f t="shared" si="81"/>
        <v>17</v>
      </c>
      <c r="I347" s="66">
        <f t="shared" si="81"/>
        <v>13</v>
      </c>
      <c r="J347" s="66">
        <f t="shared" si="81"/>
        <v>0</v>
      </c>
      <c r="K347" s="66">
        <f t="shared" si="81"/>
        <v>0</v>
      </c>
      <c r="L347" s="66">
        <f t="shared" si="81"/>
        <v>0</v>
      </c>
      <c r="M347" s="61">
        <f t="shared" si="81"/>
        <v>13</v>
      </c>
      <c r="N347" s="66">
        <f t="shared" si="81"/>
        <v>65</v>
      </c>
      <c r="O347" s="66">
        <f t="shared" si="81"/>
        <v>7</v>
      </c>
      <c r="P347" s="66">
        <f t="shared" si="81"/>
        <v>0</v>
      </c>
      <c r="Q347" s="66">
        <f t="shared" si="81"/>
        <v>0</v>
      </c>
      <c r="R347" s="61">
        <f t="shared" si="81"/>
        <v>72</v>
      </c>
      <c r="S347" s="68">
        <f t="shared" si="76"/>
        <v>102</v>
      </c>
    </row>
    <row r="348" spans="1:19" x14ac:dyDescent="0.35">
      <c r="A348" s="66" t="s">
        <v>350</v>
      </c>
      <c r="B348" s="67" t="s">
        <v>351</v>
      </c>
      <c r="C348" s="66"/>
      <c r="D348" s="66">
        <f t="shared" ref="D348:R348" si="82">SUM(D347,D342)</f>
        <v>54</v>
      </c>
      <c r="E348" s="66">
        <f t="shared" si="82"/>
        <v>5</v>
      </c>
      <c r="F348" s="66">
        <f t="shared" si="82"/>
        <v>0</v>
      </c>
      <c r="G348" s="66">
        <f t="shared" si="82"/>
        <v>0</v>
      </c>
      <c r="H348" s="61">
        <f t="shared" si="82"/>
        <v>59</v>
      </c>
      <c r="I348" s="66">
        <f t="shared" si="82"/>
        <v>27</v>
      </c>
      <c r="J348" s="66">
        <f t="shared" si="82"/>
        <v>1</v>
      </c>
      <c r="K348" s="66">
        <f t="shared" si="82"/>
        <v>0</v>
      </c>
      <c r="L348" s="66">
        <f t="shared" si="82"/>
        <v>0</v>
      </c>
      <c r="M348" s="61">
        <f t="shared" si="82"/>
        <v>28</v>
      </c>
      <c r="N348" s="66">
        <f t="shared" si="82"/>
        <v>131</v>
      </c>
      <c r="O348" s="66">
        <f t="shared" si="82"/>
        <v>19</v>
      </c>
      <c r="P348" s="66">
        <f t="shared" si="82"/>
        <v>0</v>
      </c>
      <c r="Q348" s="66">
        <f t="shared" si="82"/>
        <v>0</v>
      </c>
      <c r="R348" s="61">
        <f t="shared" si="82"/>
        <v>150</v>
      </c>
      <c r="S348" s="68">
        <f t="shared" si="76"/>
        <v>237</v>
      </c>
    </row>
    <row r="349" spans="1:19" hidden="1" x14ac:dyDescent="0.35">
      <c r="A349" s="59" t="s">
        <v>353</v>
      </c>
      <c r="B349" s="54" t="s">
        <v>322</v>
      </c>
      <c r="C349" s="60" t="s">
        <v>225</v>
      </c>
      <c r="D349" s="60">
        <v>2</v>
      </c>
      <c r="E349" s="60"/>
      <c r="F349" s="60"/>
      <c r="G349" s="60"/>
      <c r="H349" s="61">
        <f>SUM(D349:G349)</f>
        <v>2</v>
      </c>
      <c r="I349" s="60">
        <v>1</v>
      </c>
      <c r="J349" s="60"/>
      <c r="K349" s="60"/>
      <c r="L349" s="60"/>
      <c r="M349" s="61">
        <f>SUM(I349:L349)</f>
        <v>1</v>
      </c>
      <c r="N349" s="60">
        <v>8</v>
      </c>
      <c r="O349" s="60"/>
      <c r="P349" s="60"/>
      <c r="Q349" s="60"/>
      <c r="R349" s="61">
        <f>SUM(N349:Q349)</f>
        <v>8</v>
      </c>
      <c r="S349" s="68">
        <f t="shared" si="76"/>
        <v>11</v>
      </c>
    </row>
    <row r="350" spans="1:19" hidden="1" x14ac:dyDescent="0.35">
      <c r="A350" s="111" t="s">
        <v>408</v>
      </c>
      <c r="B350" s="54"/>
      <c r="C350" s="63" t="s">
        <v>227</v>
      </c>
      <c r="D350" s="63">
        <v>1</v>
      </c>
      <c r="E350" s="63"/>
      <c r="F350" s="63"/>
      <c r="G350" s="63"/>
      <c r="H350" s="61">
        <f>SUM(D350:G350)</f>
        <v>1</v>
      </c>
      <c r="I350" s="63">
        <v>2</v>
      </c>
      <c r="J350" s="63"/>
      <c r="K350" s="63"/>
      <c r="L350" s="63"/>
      <c r="M350" s="61">
        <f>SUM(I350:L350)</f>
        <v>2</v>
      </c>
      <c r="N350" s="63">
        <v>7</v>
      </c>
      <c r="O350" s="63"/>
      <c r="P350" s="63"/>
      <c r="Q350" s="63"/>
      <c r="R350" s="61">
        <f>SUM(N350:Q350)</f>
        <v>7</v>
      </c>
      <c r="S350" s="68">
        <f t="shared" si="76"/>
        <v>10</v>
      </c>
    </row>
    <row r="351" spans="1:19" hidden="1" x14ac:dyDescent="0.35">
      <c r="A351" s="111"/>
      <c r="B351" s="54"/>
      <c r="C351" s="60" t="s">
        <v>228</v>
      </c>
      <c r="D351" s="60">
        <v>3</v>
      </c>
      <c r="E351" s="60"/>
      <c r="F351" s="60"/>
      <c r="G351" s="60"/>
      <c r="H351" s="61">
        <f>SUM(D351:G351)</f>
        <v>3</v>
      </c>
      <c r="I351" s="60">
        <v>1</v>
      </c>
      <c r="J351" s="60"/>
      <c r="K351" s="60"/>
      <c r="L351" s="60"/>
      <c r="M351" s="61">
        <f>SUM(I351:L351)</f>
        <v>1</v>
      </c>
      <c r="N351" s="60">
        <v>4</v>
      </c>
      <c r="O351" s="60"/>
      <c r="P351" s="60"/>
      <c r="Q351" s="60"/>
      <c r="R351" s="61">
        <f>SUM(N351:Q351)</f>
        <v>4</v>
      </c>
      <c r="S351" s="68">
        <f t="shared" si="76"/>
        <v>8</v>
      </c>
    </row>
    <row r="352" spans="1:19" hidden="1" x14ac:dyDescent="0.35">
      <c r="A352" s="111"/>
      <c r="B352" s="54"/>
      <c r="C352" s="63" t="s">
        <v>235</v>
      </c>
      <c r="D352" s="63"/>
      <c r="E352" s="63"/>
      <c r="F352" s="63"/>
      <c r="G352" s="63"/>
      <c r="H352" s="61">
        <f>SUM(D352:G352)</f>
        <v>0</v>
      </c>
      <c r="I352" s="63"/>
      <c r="J352" s="63"/>
      <c r="K352" s="63"/>
      <c r="L352" s="63"/>
      <c r="M352" s="61">
        <f>SUM(I352:L352)</f>
        <v>0</v>
      </c>
      <c r="N352" s="63">
        <v>4</v>
      </c>
      <c r="O352" s="63"/>
      <c r="P352" s="63"/>
      <c r="Q352" s="63"/>
      <c r="R352" s="61">
        <f>SUM(N352:Q352)</f>
        <v>4</v>
      </c>
      <c r="S352" s="68">
        <f t="shared" si="76"/>
        <v>4</v>
      </c>
    </row>
    <row r="353" spans="1:19" x14ac:dyDescent="0.35">
      <c r="A353" s="66" t="s">
        <v>408</v>
      </c>
      <c r="B353" s="67" t="s">
        <v>322</v>
      </c>
      <c r="C353" s="66"/>
      <c r="D353" s="66">
        <f t="shared" ref="D353:R353" si="83">SUM(D349:D352)</f>
        <v>6</v>
      </c>
      <c r="E353" s="66">
        <f t="shared" si="83"/>
        <v>0</v>
      </c>
      <c r="F353" s="66">
        <f t="shared" si="83"/>
        <v>0</v>
      </c>
      <c r="G353" s="66">
        <f t="shared" si="83"/>
        <v>0</v>
      </c>
      <c r="H353" s="61">
        <f t="shared" si="83"/>
        <v>6</v>
      </c>
      <c r="I353" s="66">
        <f t="shared" si="83"/>
        <v>4</v>
      </c>
      <c r="J353" s="66">
        <f t="shared" si="83"/>
        <v>0</v>
      </c>
      <c r="K353" s="66">
        <f t="shared" si="83"/>
        <v>0</v>
      </c>
      <c r="L353" s="66">
        <f t="shared" si="83"/>
        <v>0</v>
      </c>
      <c r="M353" s="61">
        <f t="shared" si="83"/>
        <v>4</v>
      </c>
      <c r="N353" s="66">
        <f t="shared" si="83"/>
        <v>23</v>
      </c>
      <c r="O353" s="66">
        <f t="shared" si="83"/>
        <v>0</v>
      </c>
      <c r="P353" s="66">
        <f t="shared" si="83"/>
        <v>0</v>
      </c>
      <c r="Q353" s="66">
        <f t="shared" si="83"/>
        <v>0</v>
      </c>
      <c r="R353" s="61">
        <f t="shared" si="83"/>
        <v>23</v>
      </c>
      <c r="S353" s="68">
        <f t="shared" si="76"/>
        <v>33</v>
      </c>
    </row>
    <row r="354" spans="1:19" hidden="1" x14ac:dyDescent="0.35">
      <c r="A354" s="59" t="s">
        <v>353</v>
      </c>
      <c r="B354" s="54" t="s">
        <v>322</v>
      </c>
      <c r="C354" s="60" t="s">
        <v>225</v>
      </c>
      <c r="D354" s="60"/>
      <c r="E354" s="60"/>
      <c r="F354" s="60"/>
      <c r="G354" s="60"/>
      <c r="H354" s="61">
        <f>SUM(D354:G354)</f>
        <v>0</v>
      </c>
      <c r="I354" s="60"/>
      <c r="J354" s="60"/>
      <c r="K354" s="60"/>
      <c r="L354" s="60"/>
      <c r="M354" s="61">
        <f>SUM(I354:L354)</f>
        <v>0</v>
      </c>
      <c r="N354" s="60"/>
      <c r="O354" s="60"/>
      <c r="P354" s="60"/>
      <c r="Q354" s="60"/>
      <c r="R354" s="61">
        <f>SUM(N354:Q354)</f>
        <v>0</v>
      </c>
      <c r="S354" s="68">
        <f t="shared" si="76"/>
        <v>0</v>
      </c>
    </row>
    <row r="355" spans="1:19" hidden="1" x14ac:dyDescent="0.35">
      <c r="A355" s="111" t="s">
        <v>398</v>
      </c>
      <c r="B355" s="54"/>
      <c r="C355" s="63" t="s">
        <v>227</v>
      </c>
      <c r="D355" s="63"/>
      <c r="E355" s="63"/>
      <c r="F355" s="63"/>
      <c r="G355" s="63"/>
      <c r="H355" s="61">
        <f>SUM(D355:G355)</f>
        <v>0</v>
      </c>
      <c r="I355" s="63"/>
      <c r="J355" s="63"/>
      <c r="K355" s="63"/>
      <c r="L355" s="63"/>
      <c r="M355" s="61">
        <f>SUM(I355:L355)</f>
        <v>0</v>
      </c>
      <c r="N355" s="63"/>
      <c r="O355" s="63"/>
      <c r="P355" s="63"/>
      <c r="Q355" s="63"/>
      <c r="R355" s="61">
        <f>SUM(N355:Q355)</f>
        <v>0</v>
      </c>
      <c r="S355" s="68">
        <f t="shared" si="76"/>
        <v>0</v>
      </c>
    </row>
    <row r="356" spans="1:19" hidden="1" x14ac:dyDescent="0.35">
      <c r="A356" s="111"/>
      <c r="B356" s="54"/>
      <c r="C356" s="60" t="s">
        <v>228</v>
      </c>
      <c r="D356" s="60">
        <v>2</v>
      </c>
      <c r="E356" s="60"/>
      <c r="F356" s="60"/>
      <c r="G356" s="60"/>
      <c r="H356" s="61">
        <f>SUM(D356:G356)</f>
        <v>2</v>
      </c>
      <c r="I356" s="60">
        <v>6</v>
      </c>
      <c r="J356" s="60"/>
      <c r="K356" s="60"/>
      <c r="L356" s="60"/>
      <c r="M356" s="61">
        <f>SUM(I356:L356)</f>
        <v>6</v>
      </c>
      <c r="N356" s="60">
        <v>1</v>
      </c>
      <c r="O356" s="60"/>
      <c r="P356" s="60"/>
      <c r="Q356" s="60"/>
      <c r="R356" s="61">
        <f>SUM(N356:Q356)</f>
        <v>1</v>
      </c>
      <c r="S356" s="68">
        <f t="shared" si="76"/>
        <v>9</v>
      </c>
    </row>
    <row r="357" spans="1:19" hidden="1" x14ac:dyDescent="0.35">
      <c r="A357" s="111"/>
      <c r="B357" s="54"/>
      <c r="C357" s="63" t="s">
        <v>235</v>
      </c>
      <c r="D357" s="63">
        <v>4</v>
      </c>
      <c r="E357" s="63"/>
      <c r="F357" s="63"/>
      <c r="G357" s="63"/>
      <c r="H357" s="61">
        <f>SUM(D357:G357)</f>
        <v>4</v>
      </c>
      <c r="I357" s="63">
        <v>6</v>
      </c>
      <c r="J357" s="63"/>
      <c r="K357" s="63"/>
      <c r="L357" s="63"/>
      <c r="M357" s="61">
        <f>SUM(I357:L357)</f>
        <v>6</v>
      </c>
      <c r="N357" s="63">
        <v>6</v>
      </c>
      <c r="O357" s="63"/>
      <c r="P357" s="63"/>
      <c r="Q357" s="63"/>
      <c r="R357" s="61">
        <f>SUM(N357:Q357)</f>
        <v>6</v>
      </c>
      <c r="S357" s="68">
        <f t="shared" si="76"/>
        <v>16</v>
      </c>
    </row>
    <row r="358" spans="1:19" hidden="1" x14ac:dyDescent="0.35">
      <c r="A358" s="66" t="s">
        <v>398</v>
      </c>
      <c r="B358" s="67" t="s">
        <v>322</v>
      </c>
      <c r="C358" s="66"/>
      <c r="D358" s="66">
        <f t="shared" ref="D358:S358" si="84">SUM(D354:D357)</f>
        <v>6</v>
      </c>
      <c r="E358" s="66">
        <f t="shared" si="84"/>
        <v>0</v>
      </c>
      <c r="F358" s="66">
        <f t="shared" si="84"/>
        <v>0</v>
      </c>
      <c r="G358" s="66">
        <f t="shared" si="84"/>
        <v>0</v>
      </c>
      <c r="H358" s="61">
        <f t="shared" si="84"/>
        <v>6</v>
      </c>
      <c r="I358" s="66">
        <f t="shared" si="84"/>
        <v>12</v>
      </c>
      <c r="J358" s="66">
        <f t="shared" si="84"/>
        <v>0</v>
      </c>
      <c r="K358" s="66">
        <f t="shared" si="84"/>
        <v>0</v>
      </c>
      <c r="L358" s="66">
        <f t="shared" si="84"/>
        <v>0</v>
      </c>
      <c r="M358" s="61">
        <f t="shared" si="84"/>
        <v>12</v>
      </c>
      <c r="N358" s="66">
        <f t="shared" si="84"/>
        <v>7</v>
      </c>
      <c r="O358" s="66">
        <f t="shared" si="84"/>
        <v>0</v>
      </c>
      <c r="P358" s="66">
        <f t="shared" si="84"/>
        <v>0</v>
      </c>
      <c r="Q358" s="66">
        <f t="shared" si="84"/>
        <v>0</v>
      </c>
      <c r="R358" s="61">
        <f t="shared" si="84"/>
        <v>7</v>
      </c>
      <c r="S358" s="68">
        <f t="shared" si="84"/>
        <v>25</v>
      </c>
    </row>
    <row r="359" spans="1:19" x14ac:dyDescent="0.35">
      <c r="A359" s="66" t="s">
        <v>353</v>
      </c>
      <c r="B359" s="67" t="s">
        <v>322</v>
      </c>
      <c r="C359" s="66"/>
      <c r="D359" s="66">
        <f t="shared" ref="D359:S359" si="85">SUM(D358,D353)</f>
        <v>12</v>
      </c>
      <c r="E359" s="66">
        <f t="shared" si="85"/>
        <v>0</v>
      </c>
      <c r="F359" s="66">
        <f t="shared" si="85"/>
        <v>0</v>
      </c>
      <c r="G359" s="66">
        <f t="shared" si="85"/>
        <v>0</v>
      </c>
      <c r="H359" s="61">
        <f t="shared" si="85"/>
        <v>12</v>
      </c>
      <c r="I359" s="66">
        <f t="shared" si="85"/>
        <v>16</v>
      </c>
      <c r="J359" s="66">
        <f t="shared" si="85"/>
        <v>0</v>
      </c>
      <c r="K359" s="66">
        <f t="shared" si="85"/>
        <v>0</v>
      </c>
      <c r="L359" s="66">
        <f t="shared" si="85"/>
        <v>0</v>
      </c>
      <c r="M359" s="61">
        <f t="shared" si="85"/>
        <v>16</v>
      </c>
      <c r="N359" s="66">
        <f t="shared" si="85"/>
        <v>30</v>
      </c>
      <c r="O359" s="66">
        <f t="shared" si="85"/>
        <v>0</v>
      </c>
      <c r="P359" s="66">
        <f t="shared" si="85"/>
        <v>0</v>
      </c>
      <c r="Q359" s="66">
        <f t="shared" si="85"/>
        <v>0</v>
      </c>
      <c r="R359" s="61">
        <f t="shared" si="85"/>
        <v>30</v>
      </c>
      <c r="S359" s="68">
        <f t="shared" si="85"/>
        <v>58</v>
      </c>
    </row>
    <row r="360" spans="1:19" hidden="1" x14ac:dyDescent="0.35">
      <c r="A360" s="59" t="s">
        <v>356</v>
      </c>
      <c r="B360" s="54">
        <v>4</v>
      </c>
      <c r="C360" s="60" t="s">
        <v>225</v>
      </c>
      <c r="D360" s="60">
        <v>2</v>
      </c>
      <c r="E360" s="60"/>
      <c r="F360" s="60"/>
      <c r="G360" s="60"/>
      <c r="H360" s="61">
        <f>SUM(D360:G360)</f>
        <v>2</v>
      </c>
      <c r="I360" s="60">
        <v>5</v>
      </c>
      <c r="J360" s="60">
        <v>1</v>
      </c>
      <c r="K360" s="60">
        <v>1</v>
      </c>
      <c r="L360" s="60"/>
      <c r="M360" s="61">
        <f>SUM(I360:L360)</f>
        <v>7</v>
      </c>
      <c r="N360" s="60">
        <v>2</v>
      </c>
      <c r="O360" s="60"/>
      <c r="P360" s="60"/>
      <c r="Q360" s="60"/>
      <c r="R360" s="61">
        <f>SUM(N360:Q360)</f>
        <v>2</v>
      </c>
      <c r="S360" s="68">
        <f t="shared" ref="S360:S391" si="86">SUM(H360,M360,R360)</f>
        <v>11</v>
      </c>
    </row>
    <row r="361" spans="1:19" hidden="1" x14ac:dyDescent="0.35">
      <c r="A361" s="111" t="s">
        <v>280</v>
      </c>
      <c r="B361" s="54"/>
      <c r="C361" s="63" t="s">
        <v>227</v>
      </c>
      <c r="D361" s="63">
        <v>2</v>
      </c>
      <c r="E361" s="63"/>
      <c r="F361" s="63"/>
      <c r="G361" s="63"/>
      <c r="H361" s="61">
        <f>SUM(D361:G361)</f>
        <v>2</v>
      </c>
      <c r="I361" s="63">
        <v>1</v>
      </c>
      <c r="J361" s="63">
        <v>1</v>
      </c>
      <c r="K361" s="63">
        <v>1</v>
      </c>
      <c r="L361" s="63"/>
      <c r="M361" s="61">
        <f>SUM(I361:L361)</f>
        <v>3</v>
      </c>
      <c r="N361" s="63">
        <v>2</v>
      </c>
      <c r="O361" s="63">
        <v>1</v>
      </c>
      <c r="P361" s="63"/>
      <c r="Q361" s="63"/>
      <c r="R361" s="61">
        <f>SUM(N361:Q361)</f>
        <v>3</v>
      </c>
      <c r="S361" s="68">
        <f t="shared" si="86"/>
        <v>8</v>
      </c>
    </row>
    <row r="362" spans="1:19" hidden="1" x14ac:dyDescent="0.35">
      <c r="A362" s="111"/>
      <c r="B362" s="54"/>
      <c r="C362" s="60" t="s">
        <v>228</v>
      </c>
      <c r="D362" s="60"/>
      <c r="E362" s="60"/>
      <c r="F362" s="60"/>
      <c r="G362" s="60"/>
      <c r="H362" s="61">
        <f>SUM(D362:G362)</f>
        <v>0</v>
      </c>
      <c r="I362" s="60"/>
      <c r="J362" s="60"/>
      <c r="K362" s="60"/>
      <c r="L362" s="60"/>
      <c r="M362" s="61">
        <f>SUM(I362:L362)</f>
        <v>0</v>
      </c>
      <c r="N362" s="60">
        <v>8</v>
      </c>
      <c r="O362" s="60">
        <v>2</v>
      </c>
      <c r="P362" s="60"/>
      <c r="Q362" s="60"/>
      <c r="R362" s="61">
        <f>SUM(N362:Q362)</f>
        <v>10</v>
      </c>
      <c r="S362" s="68">
        <f t="shared" si="86"/>
        <v>10</v>
      </c>
    </row>
    <row r="363" spans="1:19" hidden="1" x14ac:dyDescent="0.35">
      <c r="A363" s="111"/>
      <c r="B363" s="54"/>
      <c r="C363" s="63" t="s">
        <v>235</v>
      </c>
      <c r="D363" s="63">
        <v>1</v>
      </c>
      <c r="E363" s="63"/>
      <c r="F363" s="63"/>
      <c r="G363" s="63"/>
      <c r="H363" s="61">
        <f>SUM(D363:G363)</f>
        <v>1</v>
      </c>
      <c r="I363" s="63">
        <v>5</v>
      </c>
      <c r="J363" s="63">
        <v>3</v>
      </c>
      <c r="K363" s="63"/>
      <c r="L363" s="63"/>
      <c r="M363" s="61">
        <f>SUM(I363:L363)</f>
        <v>8</v>
      </c>
      <c r="N363" s="63">
        <v>7</v>
      </c>
      <c r="O363" s="63">
        <v>2</v>
      </c>
      <c r="P363" s="63"/>
      <c r="Q363" s="63"/>
      <c r="R363" s="61">
        <f>SUM(N363:Q363)</f>
        <v>9</v>
      </c>
      <c r="S363" s="68">
        <f t="shared" si="86"/>
        <v>18</v>
      </c>
    </row>
    <row r="364" spans="1:19" x14ac:dyDescent="0.35">
      <c r="A364" s="66" t="s">
        <v>356</v>
      </c>
      <c r="B364" s="67">
        <v>4</v>
      </c>
      <c r="C364" s="66"/>
      <c r="D364" s="66">
        <f t="shared" ref="D364:R364" si="87">SUM(D360:D363)</f>
        <v>5</v>
      </c>
      <c r="E364" s="66">
        <f t="shared" si="87"/>
        <v>0</v>
      </c>
      <c r="F364" s="66">
        <f t="shared" si="87"/>
        <v>0</v>
      </c>
      <c r="G364" s="66">
        <f t="shared" si="87"/>
        <v>0</v>
      </c>
      <c r="H364" s="61">
        <f t="shared" si="87"/>
        <v>5</v>
      </c>
      <c r="I364" s="66">
        <f t="shared" si="87"/>
        <v>11</v>
      </c>
      <c r="J364" s="66">
        <f t="shared" si="87"/>
        <v>5</v>
      </c>
      <c r="K364" s="66">
        <f t="shared" si="87"/>
        <v>2</v>
      </c>
      <c r="L364" s="66">
        <f t="shared" si="87"/>
        <v>0</v>
      </c>
      <c r="M364" s="61">
        <f t="shared" si="87"/>
        <v>18</v>
      </c>
      <c r="N364" s="66">
        <f t="shared" si="87"/>
        <v>19</v>
      </c>
      <c r="O364" s="66">
        <f t="shared" si="87"/>
        <v>5</v>
      </c>
      <c r="P364" s="66">
        <f t="shared" si="87"/>
        <v>0</v>
      </c>
      <c r="Q364" s="66">
        <f t="shared" si="87"/>
        <v>0</v>
      </c>
      <c r="R364" s="61">
        <f t="shared" si="87"/>
        <v>24</v>
      </c>
      <c r="S364" s="68">
        <f t="shared" si="86"/>
        <v>47</v>
      </c>
    </row>
    <row r="365" spans="1:19" hidden="1" x14ac:dyDescent="0.35">
      <c r="A365" s="59" t="s">
        <v>407</v>
      </c>
      <c r="B365" s="54" t="s">
        <v>358</v>
      </c>
      <c r="C365" s="60" t="s">
        <v>225</v>
      </c>
      <c r="D365" s="60"/>
      <c r="E365" s="60"/>
      <c r="F365" s="60"/>
      <c r="G365" s="60"/>
      <c r="H365" s="61">
        <f>SUM(D365:G365)</f>
        <v>0</v>
      </c>
      <c r="I365" s="60"/>
      <c r="J365" s="60"/>
      <c r="K365" s="60"/>
      <c r="L365" s="60"/>
      <c r="M365" s="61">
        <f>SUM(I365:L365)</f>
        <v>0</v>
      </c>
      <c r="N365" s="60"/>
      <c r="O365" s="60"/>
      <c r="P365" s="60"/>
      <c r="Q365" s="60"/>
      <c r="R365" s="61">
        <f>SUM(N365:Q365)</f>
        <v>0</v>
      </c>
      <c r="S365" s="68">
        <f t="shared" si="86"/>
        <v>0</v>
      </c>
    </row>
    <row r="366" spans="1:19" hidden="1" x14ac:dyDescent="0.35">
      <c r="A366" s="111" t="s">
        <v>267</v>
      </c>
      <c r="B366" s="54"/>
      <c r="C366" s="63" t="s">
        <v>227</v>
      </c>
      <c r="D366" s="63"/>
      <c r="E366" s="63"/>
      <c r="F366" s="63"/>
      <c r="G366" s="63"/>
      <c r="H366" s="61">
        <f>SUM(D366:G366)</f>
        <v>0</v>
      </c>
      <c r="I366" s="63"/>
      <c r="J366" s="63"/>
      <c r="K366" s="63"/>
      <c r="L366" s="63"/>
      <c r="M366" s="61">
        <f>SUM(I366:L366)</f>
        <v>0</v>
      </c>
      <c r="N366" s="63"/>
      <c r="O366" s="63"/>
      <c r="P366" s="63"/>
      <c r="Q366" s="63"/>
      <c r="R366" s="61">
        <f>SUM(N366:Q366)</f>
        <v>0</v>
      </c>
      <c r="S366" s="68">
        <f t="shared" si="86"/>
        <v>0</v>
      </c>
    </row>
    <row r="367" spans="1:19" hidden="1" x14ac:dyDescent="0.35">
      <c r="A367" s="111"/>
      <c r="B367" s="54"/>
      <c r="C367" s="60" t="s">
        <v>228</v>
      </c>
      <c r="D367" s="60"/>
      <c r="E367" s="60"/>
      <c r="F367" s="60"/>
      <c r="G367" s="60"/>
      <c r="H367" s="61">
        <f>SUM(D367:G367)</f>
        <v>0</v>
      </c>
      <c r="I367" s="60"/>
      <c r="J367" s="60"/>
      <c r="K367" s="60"/>
      <c r="L367" s="60"/>
      <c r="M367" s="61">
        <f>SUM(I367:L367)</f>
        <v>0</v>
      </c>
      <c r="N367" s="60"/>
      <c r="O367" s="60"/>
      <c r="P367" s="60"/>
      <c r="Q367" s="60"/>
      <c r="R367" s="61">
        <f>SUM(N367:Q367)</f>
        <v>0</v>
      </c>
      <c r="S367" s="68">
        <f t="shared" si="86"/>
        <v>0</v>
      </c>
    </row>
    <row r="368" spans="1:19" hidden="1" x14ac:dyDescent="0.35">
      <c r="A368" s="111"/>
      <c r="B368" s="54"/>
      <c r="C368" s="63" t="s">
        <v>235</v>
      </c>
      <c r="D368" s="63"/>
      <c r="E368" s="63"/>
      <c r="F368" s="63"/>
      <c r="G368" s="63"/>
      <c r="H368" s="61">
        <f>SUM(D368:G368)</f>
        <v>0</v>
      </c>
      <c r="I368" s="63"/>
      <c r="J368" s="63"/>
      <c r="K368" s="63"/>
      <c r="L368" s="63"/>
      <c r="M368" s="61">
        <f>SUM(I368:L368)</f>
        <v>0</v>
      </c>
      <c r="N368" s="63"/>
      <c r="O368" s="63"/>
      <c r="P368" s="63"/>
      <c r="Q368" s="63"/>
      <c r="R368" s="61">
        <f>SUM(N368:Q368)</f>
        <v>0</v>
      </c>
      <c r="S368" s="68">
        <f t="shared" si="86"/>
        <v>0</v>
      </c>
    </row>
    <row r="369" spans="1:19" x14ac:dyDescent="0.35">
      <c r="A369" s="66" t="s">
        <v>407</v>
      </c>
      <c r="B369" s="67" t="s">
        <v>358</v>
      </c>
      <c r="C369" s="66"/>
      <c r="D369" s="66">
        <f t="shared" ref="D369:R369" si="88">SUM(D365:D368)</f>
        <v>0</v>
      </c>
      <c r="E369" s="66">
        <f t="shared" si="88"/>
        <v>0</v>
      </c>
      <c r="F369" s="66">
        <f t="shared" si="88"/>
        <v>0</v>
      </c>
      <c r="G369" s="66">
        <f t="shared" si="88"/>
        <v>0</v>
      </c>
      <c r="H369" s="61">
        <f t="shared" si="88"/>
        <v>0</v>
      </c>
      <c r="I369" s="66">
        <f t="shared" si="88"/>
        <v>0</v>
      </c>
      <c r="J369" s="66">
        <f t="shared" si="88"/>
        <v>0</v>
      </c>
      <c r="K369" s="66">
        <f t="shared" si="88"/>
        <v>0</v>
      </c>
      <c r="L369" s="66">
        <f t="shared" si="88"/>
        <v>0</v>
      </c>
      <c r="M369" s="61">
        <f t="shared" si="88"/>
        <v>0</v>
      </c>
      <c r="N369" s="66">
        <f t="shared" si="88"/>
        <v>0</v>
      </c>
      <c r="O369" s="66">
        <f t="shared" si="88"/>
        <v>0</v>
      </c>
      <c r="P369" s="66">
        <f t="shared" si="88"/>
        <v>0</v>
      </c>
      <c r="Q369" s="66">
        <f t="shared" si="88"/>
        <v>0</v>
      </c>
      <c r="R369" s="61">
        <f t="shared" si="88"/>
        <v>0</v>
      </c>
      <c r="S369" s="68">
        <f t="shared" si="86"/>
        <v>0</v>
      </c>
    </row>
    <row r="370" spans="1:19" hidden="1" x14ac:dyDescent="0.35">
      <c r="A370" s="59" t="s">
        <v>359</v>
      </c>
      <c r="B370" s="54" t="s">
        <v>360</v>
      </c>
      <c r="C370" s="60" t="s">
        <v>225</v>
      </c>
      <c r="D370" s="60">
        <v>3</v>
      </c>
      <c r="E370" s="60"/>
      <c r="F370" s="60"/>
      <c r="G370" s="60"/>
      <c r="H370" s="61">
        <f>SUM(D370:G370)</f>
        <v>3</v>
      </c>
      <c r="I370" s="60"/>
      <c r="J370" s="60"/>
      <c r="K370" s="60"/>
      <c r="L370" s="60"/>
      <c r="M370" s="61">
        <f>SUM(I370:L370)</f>
        <v>0</v>
      </c>
      <c r="N370" s="60">
        <v>3</v>
      </c>
      <c r="O370" s="60"/>
      <c r="P370" s="60"/>
      <c r="Q370" s="60"/>
      <c r="R370" s="61">
        <f>SUM(N370:Q370)</f>
        <v>3</v>
      </c>
      <c r="S370" s="68">
        <f t="shared" si="86"/>
        <v>6</v>
      </c>
    </row>
    <row r="371" spans="1:19" hidden="1" x14ac:dyDescent="0.35">
      <c r="A371" s="111" t="s">
        <v>245</v>
      </c>
      <c r="B371" s="54"/>
      <c r="C371" s="63" t="s">
        <v>227</v>
      </c>
      <c r="D371" s="63">
        <v>3</v>
      </c>
      <c r="E371" s="63"/>
      <c r="F371" s="63"/>
      <c r="G371" s="63"/>
      <c r="H371" s="61">
        <f>SUM(D371:G371)</f>
        <v>3</v>
      </c>
      <c r="I371" s="63"/>
      <c r="J371" s="63"/>
      <c r="K371" s="63"/>
      <c r="L371" s="63"/>
      <c r="M371" s="61">
        <f>SUM(I371:L371)</f>
        <v>0</v>
      </c>
      <c r="N371" s="63">
        <v>3</v>
      </c>
      <c r="O371" s="63"/>
      <c r="P371" s="63"/>
      <c r="Q371" s="63"/>
      <c r="R371" s="61">
        <f>SUM(N371:Q371)</f>
        <v>3</v>
      </c>
      <c r="S371" s="68">
        <f t="shared" si="86"/>
        <v>6</v>
      </c>
    </row>
    <row r="372" spans="1:19" hidden="1" x14ac:dyDescent="0.35">
      <c r="A372" s="111"/>
      <c r="B372" s="54"/>
      <c r="C372" s="60" t="s">
        <v>228</v>
      </c>
      <c r="D372" s="60">
        <v>1</v>
      </c>
      <c r="E372" s="60"/>
      <c r="F372" s="60"/>
      <c r="G372" s="60"/>
      <c r="H372" s="61">
        <f>SUM(D372:G372)</f>
        <v>1</v>
      </c>
      <c r="I372" s="60"/>
      <c r="J372" s="60"/>
      <c r="K372" s="60"/>
      <c r="L372" s="60"/>
      <c r="M372" s="61">
        <f>SUM(I372:L372)</f>
        <v>0</v>
      </c>
      <c r="N372" s="60">
        <v>5</v>
      </c>
      <c r="O372" s="60"/>
      <c r="P372" s="60"/>
      <c r="Q372" s="60"/>
      <c r="R372" s="61">
        <f>SUM(N372:Q372)</f>
        <v>5</v>
      </c>
      <c r="S372" s="68">
        <f t="shared" si="86"/>
        <v>6</v>
      </c>
    </row>
    <row r="373" spans="1:19" hidden="1" x14ac:dyDescent="0.35">
      <c r="A373" s="111"/>
      <c r="B373" s="54"/>
      <c r="C373" s="63" t="s">
        <v>235</v>
      </c>
      <c r="D373" s="63">
        <v>2</v>
      </c>
      <c r="E373" s="63"/>
      <c r="F373" s="63"/>
      <c r="G373" s="63"/>
      <c r="H373" s="61">
        <f>SUM(D373:G373)</f>
        <v>2</v>
      </c>
      <c r="I373" s="63"/>
      <c r="J373" s="63"/>
      <c r="K373" s="63"/>
      <c r="L373" s="63"/>
      <c r="M373" s="61">
        <f>SUM(I373:L373)</f>
        <v>0</v>
      </c>
      <c r="N373" s="63">
        <v>5</v>
      </c>
      <c r="O373" s="63"/>
      <c r="P373" s="63"/>
      <c r="Q373" s="63"/>
      <c r="R373" s="61">
        <f>SUM(N373:Q373)</f>
        <v>5</v>
      </c>
      <c r="S373" s="68">
        <f t="shared" si="86"/>
        <v>7</v>
      </c>
    </row>
    <row r="374" spans="1:19" x14ac:dyDescent="0.35">
      <c r="A374" s="66" t="s">
        <v>359</v>
      </c>
      <c r="B374" s="67" t="s">
        <v>360</v>
      </c>
      <c r="C374" s="66"/>
      <c r="D374" s="66">
        <f t="shared" ref="D374:R374" si="89">SUM(D370:D373)</f>
        <v>9</v>
      </c>
      <c r="E374" s="66">
        <f t="shared" si="89"/>
        <v>0</v>
      </c>
      <c r="F374" s="66">
        <f t="shared" si="89"/>
        <v>0</v>
      </c>
      <c r="G374" s="66">
        <f t="shared" si="89"/>
        <v>0</v>
      </c>
      <c r="H374" s="61">
        <f t="shared" si="89"/>
        <v>9</v>
      </c>
      <c r="I374" s="66">
        <f t="shared" si="89"/>
        <v>0</v>
      </c>
      <c r="J374" s="66">
        <f t="shared" si="89"/>
        <v>0</v>
      </c>
      <c r="K374" s="66">
        <f t="shared" si="89"/>
        <v>0</v>
      </c>
      <c r="L374" s="66">
        <f t="shared" si="89"/>
        <v>0</v>
      </c>
      <c r="M374" s="61">
        <f t="shared" si="89"/>
        <v>0</v>
      </c>
      <c r="N374" s="66">
        <f t="shared" si="89"/>
        <v>16</v>
      </c>
      <c r="O374" s="66">
        <f t="shared" si="89"/>
        <v>0</v>
      </c>
      <c r="P374" s="66">
        <f t="shared" si="89"/>
        <v>0</v>
      </c>
      <c r="Q374" s="66">
        <f t="shared" si="89"/>
        <v>0</v>
      </c>
      <c r="R374" s="61">
        <f t="shared" si="89"/>
        <v>16</v>
      </c>
      <c r="S374" s="68">
        <f t="shared" si="86"/>
        <v>25</v>
      </c>
    </row>
    <row r="375" spans="1:19" hidden="1" x14ac:dyDescent="0.35">
      <c r="A375" s="59" t="s">
        <v>361</v>
      </c>
      <c r="B375" s="54">
        <v>30</v>
      </c>
      <c r="C375" s="60" t="s">
        <v>225</v>
      </c>
      <c r="D375" s="60"/>
      <c r="E375" s="60"/>
      <c r="F375" s="60"/>
      <c r="G375" s="60"/>
      <c r="H375" s="61">
        <f>SUM(D375:G375)</f>
        <v>0</v>
      </c>
      <c r="I375" s="60"/>
      <c r="J375" s="60"/>
      <c r="K375" s="60"/>
      <c r="L375" s="60"/>
      <c r="M375" s="61">
        <f>SUM(I375:L375)</f>
        <v>0</v>
      </c>
      <c r="N375" s="60"/>
      <c r="O375" s="60"/>
      <c r="P375" s="60"/>
      <c r="Q375" s="60"/>
      <c r="R375" s="61">
        <f>SUM(N375:Q375)</f>
        <v>0</v>
      </c>
      <c r="S375" s="68">
        <f t="shared" si="86"/>
        <v>0</v>
      </c>
    </row>
    <row r="376" spans="1:19" hidden="1" x14ac:dyDescent="0.35">
      <c r="A376" s="111" t="s">
        <v>263</v>
      </c>
      <c r="B376" s="54"/>
      <c r="C376" s="63" t="s">
        <v>227</v>
      </c>
      <c r="D376" s="63"/>
      <c r="E376" s="63"/>
      <c r="F376" s="63"/>
      <c r="G376" s="63"/>
      <c r="H376" s="61">
        <f>SUM(D376:G376)</f>
        <v>0</v>
      </c>
      <c r="I376" s="63"/>
      <c r="J376" s="63"/>
      <c r="K376" s="63"/>
      <c r="L376" s="63"/>
      <c r="M376" s="61">
        <f>SUM(I376:L376)</f>
        <v>0</v>
      </c>
      <c r="N376" s="63"/>
      <c r="O376" s="63"/>
      <c r="P376" s="63"/>
      <c r="Q376" s="63"/>
      <c r="R376" s="61">
        <f>SUM(N376:Q376)</f>
        <v>0</v>
      </c>
      <c r="S376" s="68">
        <f t="shared" si="86"/>
        <v>0</v>
      </c>
    </row>
    <row r="377" spans="1:19" hidden="1" x14ac:dyDescent="0.35">
      <c r="A377" s="111"/>
      <c r="B377" s="54"/>
      <c r="C377" s="60" t="s">
        <v>228</v>
      </c>
      <c r="D377" s="60"/>
      <c r="E377" s="60"/>
      <c r="F377" s="60"/>
      <c r="G377" s="60"/>
      <c r="H377" s="61">
        <f>SUM(D377:G377)</f>
        <v>0</v>
      </c>
      <c r="I377" s="60"/>
      <c r="J377" s="60"/>
      <c r="K377" s="60"/>
      <c r="L377" s="60"/>
      <c r="M377" s="61">
        <f>SUM(I377:L377)</f>
        <v>0</v>
      </c>
      <c r="N377" s="60"/>
      <c r="O377" s="60"/>
      <c r="P377" s="60"/>
      <c r="Q377" s="60"/>
      <c r="R377" s="61">
        <f>SUM(N377:Q377)</f>
        <v>0</v>
      </c>
      <c r="S377" s="68">
        <f t="shared" si="86"/>
        <v>0</v>
      </c>
    </row>
    <row r="378" spans="1:19" hidden="1" x14ac:dyDescent="0.35">
      <c r="A378" s="111"/>
      <c r="B378" s="54"/>
      <c r="C378" s="63" t="s">
        <v>235</v>
      </c>
      <c r="D378" s="63"/>
      <c r="E378" s="63"/>
      <c r="F378" s="63"/>
      <c r="G378" s="63"/>
      <c r="H378" s="61">
        <f>SUM(D378:G378)</f>
        <v>0</v>
      </c>
      <c r="I378" s="63"/>
      <c r="J378" s="63"/>
      <c r="K378" s="63"/>
      <c r="L378" s="63"/>
      <c r="M378" s="61">
        <f>SUM(I378:L378)</f>
        <v>0</v>
      </c>
      <c r="N378" s="63"/>
      <c r="O378" s="63"/>
      <c r="P378" s="63"/>
      <c r="Q378" s="63"/>
      <c r="R378" s="61">
        <f>SUM(N378:Q378)</f>
        <v>0</v>
      </c>
      <c r="S378" s="68">
        <f t="shared" si="86"/>
        <v>0</v>
      </c>
    </row>
    <row r="379" spans="1:19" x14ac:dyDescent="0.35">
      <c r="A379" s="66" t="s">
        <v>361</v>
      </c>
      <c r="B379" s="67">
        <v>30</v>
      </c>
      <c r="C379" s="66"/>
      <c r="D379" s="66">
        <f t="shared" ref="D379:R379" si="90">SUM(D375:D378)</f>
        <v>0</v>
      </c>
      <c r="E379" s="66">
        <f t="shared" si="90"/>
        <v>0</v>
      </c>
      <c r="F379" s="66">
        <f t="shared" si="90"/>
        <v>0</v>
      </c>
      <c r="G379" s="66">
        <f t="shared" si="90"/>
        <v>0</v>
      </c>
      <c r="H379" s="61">
        <f t="shared" si="90"/>
        <v>0</v>
      </c>
      <c r="I379" s="66">
        <f t="shared" si="90"/>
        <v>0</v>
      </c>
      <c r="J379" s="66">
        <f t="shared" si="90"/>
        <v>0</v>
      </c>
      <c r="K379" s="66">
        <f t="shared" si="90"/>
        <v>0</v>
      </c>
      <c r="L379" s="66">
        <f t="shared" si="90"/>
        <v>0</v>
      </c>
      <c r="M379" s="61">
        <f t="shared" si="90"/>
        <v>0</v>
      </c>
      <c r="N379" s="66">
        <f t="shared" si="90"/>
        <v>0</v>
      </c>
      <c r="O379" s="66">
        <f t="shared" si="90"/>
        <v>0</v>
      </c>
      <c r="P379" s="66">
        <f t="shared" si="90"/>
        <v>0</v>
      </c>
      <c r="Q379" s="66">
        <f t="shared" si="90"/>
        <v>0</v>
      </c>
      <c r="R379" s="61">
        <f t="shared" si="90"/>
        <v>0</v>
      </c>
      <c r="S379" s="68">
        <f t="shared" si="86"/>
        <v>0</v>
      </c>
    </row>
    <row r="380" spans="1:19" hidden="1" x14ac:dyDescent="0.35">
      <c r="A380" s="59" t="s">
        <v>362</v>
      </c>
      <c r="B380" s="54" t="s">
        <v>303</v>
      </c>
      <c r="C380" s="60" t="s">
        <v>225</v>
      </c>
      <c r="D380" s="60">
        <v>3</v>
      </c>
      <c r="E380" s="60">
        <v>1</v>
      </c>
      <c r="F380" s="60"/>
      <c r="G380" s="60"/>
      <c r="H380" s="61">
        <f>SUM(D380:G380)</f>
        <v>4</v>
      </c>
      <c r="I380" s="60">
        <v>5</v>
      </c>
      <c r="J380" s="60">
        <v>1</v>
      </c>
      <c r="K380" s="60"/>
      <c r="L380" s="60"/>
      <c r="M380" s="61">
        <f>SUM(I380:L380)</f>
        <v>6</v>
      </c>
      <c r="N380" s="60">
        <v>27</v>
      </c>
      <c r="O380" s="60">
        <v>5</v>
      </c>
      <c r="P380" s="60"/>
      <c r="Q380" s="60"/>
      <c r="R380" s="61">
        <f>SUM(N380:Q380)</f>
        <v>32</v>
      </c>
      <c r="S380" s="68">
        <f t="shared" si="86"/>
        <v>42</v>
      </c>
    </row>
    <row r="381" spans="1:19" hidden="1" x14ac:dyDescent="0.35">
      <c r="A381" s="111" t="s">
        <v>363</v>
      </c>
      <c r="B381" s="54"/>
      <c r="C381" s="63" t="s">
        <v>227</v>
      </c>
      <c r="D381" s="63">
        <v>4</v>
      </c>
      <c r="E381" s="63"/>
      <c r="F381" s="63"/>
      <c r="G381" s="63"/>
      <c r="H381" s="61">
        <f>SUM(D381:G381)</f>
        <v>4</v>
      </c>
      <c r="I381" s="63">
        <v>3</v>
      </c>
      <c r="J381" s="63">
        <v>1</v>
      </c>
      <c r="K381" s="63"/>
      <c r="L381" s="63"/>
      <c r="M381" s="61">
        <f>SUM(I381:L381)</f>
        <v>4</v>
      </c>
      <c r="N381" s="63">
        <v>30</v>
      </c>
      <c r="O381" s="63">
        <v>6</v>
      </c>
      <c r="P381" s="63"/>
      <c r="Q381" s="63"/>
      <c r="R381" s="61">
        <f>SUM(N381:Q381)</f>
        <v>36</v>
      </c>
      <c r="S381" s="68">
        <f t="shared" si="86"/>
        <v>44</v>
      </c>
    </row>
    <row r="382" spans="1:19" hidden="1" x14ac:dyDescent="0.35">
      <c r="A382" s="111"/>
      <c r="B382" s="54"/>
      <c r="C382" s="60" t="s">
        <v>228</v>
      </c>
      <c r="D382" s="60">
        <v>6</v>
      </c>
      <c r="E382" s="60"/>
      <c r="F382" s="60"/>
      <c r="G382" s="60"/>
      <c r="H382" s="61">
        <f>SUM(D382:G382)</f>
        <v>6</v>
      </c>
      <c r="I382" s="60">
        <v>7</v>
      </c>
      <c r="J382" s="60">
        <v>3</v>
      </c>
      <c r="K382" s="60"/>
      <c r="L382" s="60"/>
      <c r="M382" s="61">
        <f>SUM(I382:L382)</f>
        <v>10</v>
      </c>
      <c r="N382" s="60">
        <v>27</v>
      </c>
      <c r="O382" s="60">
        <v>3</v>
      </c>
      <c r="P382" s="60"/>
      <c r="Q382" s="60"/>
      <c r="R382" s="61">
        <f>SUM(N382:Q382)</f>
        <v>30</v>
      </c>
      <c r="S382" s="68">
        <f t="shared" si="86"/>
        <v>46</v>
      </c>
    </row>
    <row r="383" spans="1:19" hidden="1" x14ac:dyDescent="0.35">
      <c r="A383" s="111"/>
      <c r="B383" s="54"/>
      <c r="C383" s="63" t="s">
        <v>235</v>
      </c>
      <c r="D383" s="63">
        <v>3</v>
      </c>
      <c r="E383" s="63">
        <v>2</v>
      </c>
      <c r="F383" s="63"/>
      <c r="G383" s="63"/>
      <c r="H383" s="61">
        <f>SUM(D383:G383)</f>
        <v>5</v>
      </c>
      <c r="I383" s="63">
        <v>3</v>
      </c>
      <c r="J383" s="63">
        <v>1</v>
      </c>
      <c r="K383" s="63"/>
      <c r="L383" s="63"/>
      <c r="M383" s="61">
        <f>SUM(I383:L383)</f>
        <v>4</v>
      </c>
      <c r="N383" s="63">
        <v>34</v>
      </c>
      <c r="O383" s="63">
        <v>6</v>
      </c>
      <c r="P383" s="63"/>
      <c r="Q383" s="63"/>
      <c r="R383" s="61">
        <f>SUM(N383:Q383)</f>
        <v>40</v>
      </c>
      <c r="S383" s="68">
        <f t="shared" si="86"/>
        <v>49</v>
      </c>
    </row>
    <row r="384" spans="1:19" x14ac:dyDescent="0.35">
      <c r="A384" s="66" t="s">
        <v>362</v>
      </c>
      <c r="B384" s="67" t="s">
        <v>303</v>
      </c>
      <c r="C384" s="66"/>
      <c r="D384" s="66">
        <f t="shared" ref="D384:R384" si="91">SUM(D380:D383)</f>
        <v>16</v>
      </c>
      <c r="E384" s="66">
        <f t="shared" si="91"/>
        <v>3</v>
      </c>
      <c r="F384" s="66">
        <f t="shared" si="91"/>
        <v>0</v>
      </c>
      <c r="G384" s="66">
        <f t="shared" si="91"/>
        <v>0</v>
      </c>
      <c r="H384" s="61">
        <f t="shared" si="91"/>
        <v>19</v>
      </c>
      <c r="I384" s="66">
        <f t="shared" si="91"/>
        <v>18</v>
      </c>
      <c r="J384" s="66">
        <f t="shared" si="91"/>
        <v>6</v>
      </c>
      <c r="K384" s="66">
        <f t="shared" si="91"/>
        <v>0</v>
      </c>
      <c r="L384" s="66">
        <f t="shared" si="91"/>
        <v>0</v>
      </c>
      <c r="M384" s="61">
        <f t="shared" si="91"/>
        <v>24</v>
      </c>
      <c r="N384" s="66">
        <f t="shared" si="91"/>
        <v>118</v>
      </c>
      <c r="O384" s="66">
        <f t="shared" si="91"/>
        <v>20</v>
      </c>
      <c r="P384" s="66">
        <f t="shared" si="91"/>
        <v>0</v>
      </c>
      <c r="Q384" s="66">
        <f t="shared" si="91"/>
        <v>0</v>
      </c>
      <c r="R384" s="61">
        <f t="shared" si="91"/>
        <v>138</v>
      </c>
      <c r="S384" s="68">
        <f t="shared" si="86"/>
        <v>181</v>
      </c>
    </row>
    <row r="385" spans="1:19" hidden="1" x14ac:dyDescent="0.35">
      <c r="A385" s="59" t="s">
        <v>364</v>
      </c>
      <c r="B385" s="54" t="s">
        <v>365</v>
      </c>
      <c r="C385" s="60" t="s">
        <v>225</v>
      </c>
      <c r="D385" s="60">
        <v>4</v>
      </c>
      <c r="E385" s="60"/>
      <c r="F385" s="60"/>
      <c r="G385" s="60"/>
      <c r="H385" s="61">
        <f>SUM(D385:G385)</f>
        <v>4</v>
      </c>
      <c r="I385" s="60">
        <v>4</v>
      </c>
      <c r="J385" s="60"/>
      <c r="K385" s="60"/>
      <c r="L385" s="60"/>
      <c r="M385" s="61">
        <f>SUM(I385:L385)</f>
        <v>4</v>
      </c>
      <c r="N385" s="60">
        <v>9</v>
      </c>
      <c r="O385" s="60"/>
      <c r="P385" s="60"/>
      <c r="Q385" s="60"/>
      <c r="R385" s="61">
        <f>SUM(N385:Q385)</f>
        <v>9</v>
      </c>
      <c r="S385" s="68">
        <f t="shared" si="86"/>
        <v>17</v>
      </c>
    </row>
    <row r="386" spans="1:19" hidden="1" x14ac:dyDescent="0.35">
      <c r="A386" s="111" t="s">
        <v>267</v>
      </c>
      <c r="B386" s="54"/>
      <c r="C386" s="63" t="s">
        <v>227</v>
      </c>
      <c r="D386" s="63">
        <v>2</v>
      </c>
      <c r="E386" s="63"/>
      <c r="F386" s="63"/>
      <c r="G386" s="63"/>
      <c r="H386" s="61">
        <f>SUM(D386:G386)</f>
        <v>2</v>
      </c>
      <c r="I386" s="63">
        <v>4</v>
      </c>
      <c r="J386" s="63"/>
      <c r="K386" s="63"/>
      <c r="L386" s="63"/>
      <c r="M386" s="61">
        <f>SUM(I386:L386)</f>
        <v>4</v>
      </c>
      <c r="N386" s="63">
        <v>6</v>
      </c>
      <c r="O386" s="63"/>
      <c r="P386" s="63"/>
      <c r="Q386" s="63"/>
      <c r="R386" s="61">
        <f>SUM(N386:Q386)</f>
        <v>6</v>
      </c>
      <c r="S386" s="68">
        <f t="shared" si="86"/>
        <v>12</v>
      </c>
    </row>
    <row r="387" spans="1:19" hidden="1" x14ac:dyDescent="0.35">
      <c r="A387" s="111"/>
      <c r="B387" s="54"/>
      <c r="C387" s="60" t="s">
        <v>228</v>
      </c>
      <c r="D387" s="60">
        <v>3</v>
      </c>
      <c r="E387" s="60"/>
      <c r="F387" s="60"/>
      <c r="G387" s="60"/>
      <c r="H387" s="61">
        <f>SUM(D387:G387)</f>
        <v>3</v>
      </c>
      <c r="I387" s="60">
        <v>2</v>
      </c>
      <c r="J387" s="60"/>
      <c r="K387" s="60"/>
      <c r="L387" s="60"/>
      <c r="M387" s="61">
        <f>SUM(I387:L387)</f>
        <v>2</v>
      </c>
      <c r="N387" s="60">
        <v>7</v>
      </c>
      <c r="O387" s="60"/>
      <c r="P387" s="60"/>
      <c r="Q387" s="60"/>
      <c r="R387" s="61">
        <f>SUM(N387:Q387)</f>
        <v>7</v>
      </c>
      <c r="S387" s="68">
        <f t="shared" si="86"/>
        <v>12</v>
      </c>
    </row>
    <row r="388" spans="1:19" hidden="1" x14ac:dyDescent="0.35">
      <c r="A388" s="111"/>
      <c r="B388" s="54"/>
      <c r="C388" s="63" t="s">
        <v>235</v>
      </c>
      <c r="D388" s="63">
        <v>2</v>
      </c>
      <c r="E388" s="63"/>
      <c r="F388" s="63"/>
      <c r="G388" s="63"/>
      <c r="H388" s="61">
        <f>SUM(D388:G388)</f>
        <v>2</v>
      </c>
      <c r="I388" s="63">
        <v>3</v>
      </c>
      <c r="J388" s="63"/>
      <c r="K388" s="63"/>
      <c r="L388" s="63"/>
      <c r="M388" s="61">
        <f>SUM(I388:L388)</f>
        <v>3</v>
      </c>
      <c r="N388" s="63">
        <v>11</v>
      </c>
      <c r="O388" s="63"/>
      <c r="P388" s="63"/>
      <c r="Q388" s="63"/>
      <c r="R388" s="61">
        <f>SUM(N388:Q388)</f>
        <v>11</v>
      </c>
      <c r="S388" s="68">
        <f t="shared" si="86"/>
        <v>16</v>
      </c>
    </row>
    <row r="389" spans="1:19" hidden="1" x14ac:dyDescent="0.35">
      <c r="A389" s="66" t="s">
        <v>397</v>
      </c>
      <c r="B389" s="67"/>
      <c r="C389" s="66"/>
      <c r="D389" s="66">
        <f t="shared" ref="D389:R389" si="92">SUM(D385:D388)</f>
        <v>11</v>
      </c>
      <c r="E389" s="66">
        <f t="shared" si="92"/>
        <v>0</v>
      </c>
      <c r="F389" s="66">
        <f t="shared" si="92"/>
        <v>0</v>
      </c>
      <c r="G389" s="66">
        <f t="shared" si="92"/>
        <v>0</v>
      </c>
      <c r="H389" s="61">
        <f t="shared" si="92"/>
        <v>11</v>
      </c>
      <c r="I389" s="66">
        <f t="shared" si="92"/>
        <v>13</v>
      </c>
      <c r="J389" s="66">
        <f t="shared" si="92"/>
        <v>0</v>
      </c>
      <c r="K389" s="66">
        <f t="shared" si="92"/>
        <v>0</v>
      </c>
      <c r="L389" s="66">
        <f t="shared" si="92"/>
        <v>0</v>
      </c>
      <c r="M389" s="61">
        <f t="shared" si="92"/>
        <v>13</v>
      </c>
      <c r="N389" s="66">
        <f t="shared" si="92"/>
        <v>33</v>
      </c>
      <c r="O389" s="66">
        <f t="shared" si="92"/>
        <v>0</v>
      </c>
      <c r="P389" s="66">
        <f t="shared" si="92"/>
        <v>0</v>
      </c>
      <c r="Q389" s="66">
        <f t="shared" si="92"/>
        <v>0</v>
      </c>
      <c r="R389" s="61">
        <f t="shared" si="92"/>
        <v>33</v>
      </c>
      <c r="S389" s="68">
        <f t="shared" si="86"/>
        <v>57</v>
      </c>
    </row>
    <row r="390" spans="1:19" hidden="1" x14ac:dyDescent="0.35">
      <c r="A390" s="111" t="s">
        <v>366</v>
      </c>
      <c r="B390" s="54"/>
      <c r="C390" s="60" t="s">
        <v>225</v>
      </c>
      <c r="D390" s="60">
        <v>3</v>
      </c>
      <c r="E390" s="60"/>
      <c r="F390" s="60"/>
      <c r="G390" s="60"/>
      <c r="H390" s="61">
        <f>SUM(D390:G390)</f>
        <v>3</v>
      </c>
      <c r="I390" s="60"/>
      <c r="J390" s="60"/>
      <c r="K390" s="60"/>
      <c r="L390" s="60"/>
      <c r="M390" s="61">
        <f>SUM(I390:L390)</f>
        <v>0</v>
      </c>
      <c r="N390" s="60">
        <v>20</v>
      </c>
      <c r="O390" s="60">
        <v>1</v>
      </c>
      <c r="P390" s="60"/>
      <c r="Q390" s="60"/>
      <c r="R390" s="61">
        <f>SUM(N390:Q390)</f>
        <v>21</v>
      </c>
      <c r="S390" s="68">
        <f t="shared" si="86"/>
        <v>24</v>
      </c>
    </row>
    <row r="391" spans="1:19" hidden="1" x14ac:dyDescent="0.35">
      <c r="A391" s="111"/>
      <c r="B391" s="54"/>
      <c r="C391" s="63" t="s">
        <v>227</v>
      </c>
      <c r="D391" s="63">
        <v>1</v>
      </c>
      <c r="E391" s="63"/>
      <c r="F391" s="63"/>
      <c r="G391" s="63"/>
      <c r="H391" s="61">
        <f>SUM(D391:G391)</f>
        <v>1</v>
      </c>
      <c r="I391" s="63"/>
      <c r="J391" s="63"/>
      <c r="K391" s="63"/>
      <c r="L391" s="63"/>
      <c r="M391" s="61">
        <f>SUM(I391:L391)</f>
        <v>0</v>
      </c>
      <c r="N391" s="63">
        <v>20</v>
      </c>
      <c r="O391" s="63">
        <v>1</v>
      </c>
      <c r="P391" s="63"/>
      <c r="Q391" s="63"/>
      <c r="R391" s="61">
        <f>SUM(N391:Q391)</f>
        <v>21</v>
      </c>
      <c r="S391" s="68">
        <f t="shared" si="86"/>
        <v>22</v>
      </c>
    </row>
    <row r="392" spans="1:19" hidden="1" x14ac:dyDescent="0.35">
      <c r="A392" s="111"/>
      <c r="B392" s="54"/>
      <c r="C392" s="60" t="s">
        <v>228</v>
      </c>
      <c r="D392" s="60">
        <v>10</v>
      </c>
      <c r="E392" s="60">
        <v>1</v>
      </c>
      <c r="F392" s="60"/>
      <c r="G392" s="60"/>
      <c r="H392" s="61">
        <f>SUM(D392:G392)</f>
        <v>11</v>
      </c>
      <c r="I392" s="60"/>
      <c r="J392" s="60"/>
      <c r="K392" s="60"/>
      <c r="L392" s="60"/>
      <c r="M392" s="61">
        <f>SUM(I392:L392)</f>
        <v>0</v>
      </c>
      <c r="N392" s="60">
        <v>14</v>
      </c>
      <c r="O392" s="60"/>
      <c r="P392" s="60"/>
      <c r="Q392" s="60"/>
      <c r="R392" s="61">
        <f>SUM(N392:Q392)</f>
        <v>14</v>
      </c>
      <c r="S392" s="68">
        <f t="shared" ref="S392:S423" si="93">SUM(H392,M392,R392)</f>
        <v>25</v>
      </c>
    </row>
    <row r="393" spans="1:19" hidden="1" x14ac:dyDescent="0.35">
      <c r="A393" s="111"/>
      <c r="B393" s="54"/>
      <c r="C393" s="63" t="s">
        <v>235</v>
      </c>
      <c r="D393" s="63">
        <v>7</v>
      </c>
      <c r="E393" s="63"/>
      <c r="F393" s="63"/>
      <c r="G393" s="63"/>
      <c r="H393" s="61">
        <f>SUM(D393:G393)</f>
        <v>7</v>
      </c>
      <c r="I393" s="63">
        <v>1</v>
      </c>
      <c r="J393" s="63"/>
      <c r="K393" s="63"/>
      <c r="L393" s="63"/>
      <c r="M393" s="61">
        <f>SUM(I393:L393)</f>
        <v>1</v>
      </c>
      <c r="N393" s="63">
        <v>8</v>
      </c>
      <c r="O393" s="63"/>
      <c r="P393" s="63"/>
      <c r="Q393" s="63"/>
      <c r="R393" s="61">
        <f>SUM(N393:Q393)</f>
        <v>8</v>
      </c>
      <c r="S393" s="68">
        <f t="shared" si="93"/>
        <v>16</v>
      </c>
    </row>
    <row r="394" spans="1:19" hidden="1" x14ac:dyDescent="0.35">
      <c r="A394" s="76" t="s">
        <v>366</v>
      </c>
      <c r="B394" s="67"/>
      <c r="C394" s="66"/>
      <c r="D394" s="66">
        <f t="shared" ref="D394:R394" si="94">SUM(D390:D393)</f>
        <v>21</v>
      </c>
      <c r="E394" s="66">
        <f t="shared" si="94"/>
        <v>1</v>
      </c>
      <c r="F394" s="66">
        <f t="shared" si="94"/>
        <v>0</v>
      </c>
      <c r="G394" s="66">
        <f t="shared" si="94"/>
        <v>0</v>
      </c>
      <c r="H394" s="61">
        <f t="shared" si="94"/>
        <v>22</v>
      </c>
      <c r="I394" s="66">
        <f t="shared" si="94"/>
        <v>1</v>
      </c>
      <c r="J394" s="66">
        <f t="shared" si="94"/>
        <v>0</v>
      </c>
      <c r="K394" s="66">
        <f t="shared" si="94"/>
        <v>0</v>
      </c>
      <c r="L394" s="66">
        <f t="shared" si="94"/>
        <v>0</v>
      </c>
      <c r="M394" s="61">
        <f t="shared" si="94"/>
        <v>1</v>
      </c>
      <c r="N394" s="66">
        <f t="shared" si="94"/>
        <v>62</v>
      </c>
      <c r="O394" s="66">
        <f t="shared" si="94"/>
        <v>2</v>
      </c>
      <c r="P394" s="66">
        <f t="shared" si="94"/>
        <v>0</v>
      </c>
      <c r="Q394" s="66">
        <f t="shared" si="94"/>
        <v>0</v>
      </c>
      <c r="R394" s="61">
        <f t="shared" si="94"/>
        <v>64</v>
      </c>
      <c r="S394" s="68">
        <f t="shared" si="93"/>
        <v>87</v>
      </c>
    </row>
    <row r="395" spans="1:19" x14ac:dyDescent="0.35">
      <c r="A395" s="66" t="s">
        <v>364</v>
      </c>
      <c r="B395" s="67" t="s">
        <v>365</v>
      </c>
      <c r="C395" s="66"/>
      <c r="D395" s="66">
        <f t="shared" ref="D395:R395" si="95">SUM(D394,D389)</f>
        <v>32</v>
      </c>
      <c r="E395" s="66">
        <f t="shared" si="95"/>
        <v>1</v>
      </c>
      <c r="F395" s="66">
        <f t="shared" si="95"/>
        <v>0</v>
      </c>
      <c r="G395" s="66">
        <f t="shared" si="95"/>
        <v>0</v>
      </c>
      <c r="H395" s="61">
        <f t="shared" si="95"/>
        <v>33</v>
      </c>
      <c r="I395" s="66">
        <f t="shared" si="95"/>
        <v>14</v>
      </c>
      <c r="J395" s="66">
        <f t="shared" si="95"/>
        <v>0</v>
      </c>
      <c r="K395" s="66">
        <f t="shared" si="95"/>
        <v>0</v>
      </c>
      <c r="L395" s="66">
        <f t="shared" si="95"/>
        <v>0</v>
      </c>
      <c r="M395" s="61">
        <f t="shared" si="95"/>
        <v>14</v>
      </c>
      <c r="N395" s="66">
        <f t="shared" si="95"/>
        <v>95</v>
      </c>
      <c r="O395" s="66">
        <f t="shared" si="95"/>
        <v>2</v>
      </c>
      <c r="P395" s="66">
        <f t="shared" si="95"/>
        <v>0</v>
      </c>
      <c r="Q395" s="66">
        <f t="shared" si="95"/>
        <v>0</v>
      </c>
      <c r="R395" s="61">
        <f t="shared" si="95"/>
        <v>97</v>
      </c>
      <c r="S395" s="68">
        <f t="shared" si="93"/>
        <v>144</v>
      </c>
    </row>
    <row r="396" spans="1:19" hidden="1" x14ac:dyDescent="0.35">
      <c r="A396" s="59" t="s">
        <v>367</v>
      </c>
      <c r="B396" s="54" t="s">
        <v>368</v>
      </c>
      <c r="C396" s="60" t="s">
        <v>225</v>
      </c>
      <c r="D396" s="60">
        <v>4</v>
      </c>
      <c r="E396" s="60"/>
      <c r="F396" s="60"/>
      <c r="G396" s="60"/>
      <c r="H396" s="61">
        <f>SUM(D396:G396)</f>
        <v>4</v>
      </c>
      <c r="I396" s="60"/>
      <c r="J396" s="60"/>
      <c r="K396" s="60"/>
      <c r="L396" s="60"/>
      <c r="M396" s="61">
        <f>SUM(I396:L396)</f>
        <v>0</v>
      </c>
      <c r="N396" s="60">
        <v>3</v>
      </c>
      <c r="O396" s="60"/>
      <c r="P396" s="60"/>
      <c r="Q396" s="60"/>
      <c r="R396" s="61">
        <f>SUM(N396:Q396)</f>
        <v>3</v>
      </c>
      <c r="S396" s="68">
        <f t="shared" si="93"/>
        <v>7</v>
      </c>
    </row>
    <row r="397" spans="1:19" hidden="1" x14ac:dyDescent="0.35">
      <c r="A397" s="111" t="s">
        <v>291</v>
      </c>
      <c r="B397" s="54"/>
      <c r="C397" s="63" t="s">
        <v>227</v>
      </c>
      <c r="D397" s="63">
        <v>1</v>
      </c>
      <c r="E397" s="63"/>
      <c r="F397" s="63"/>
      <c r="G397" s="63"/>
      <c r="H397" s="61">
        <f>SUM(D397:G397)</f>
        <v>1</v>
      </c>
      <c r="I397" s="63">
        <v>2</v>
      </c>
      <c r="J397" s="63"/>
      <c r="K397" s="63"/>
      <c r="L397" s="63"/>
      <c r="M397" s="61">
        <f>SUM(I397:L397)</f>
        <v>2</v>
      </c>
      <c r="N397" s="63">
        <v>3</v>
      </c>
      <c r="O397" s="63"/>
      <c r="P397" s="63"/>
      <c r="Q397" s="63"/>
      <c r="R397" s="61">
        <f>SUM(N397:Q397)</f>
        <v>3</v>
      </c>
      <c r="S397" s="68">
        <f t="shared" si="93"/>
        <v>6</v>
      </c>
    </row>
    <row r="398" spans="1:19" hidden="1" x14ac:dyDescent="0.35">
      <c r="A398" s="111"/>
      <c r="B398" s="54"/>
      <c r="C398" s="60" t="s">
        <v>228</v>
      </c>
      <c r="D398" s="60">
        <v>1</v>
      </c>
      <c r="E398" s="60"/>
      <c r="F398" s="60"/>
      <c r="G398" s="60"/>
      <c r="H398" s="61">
        <f>SUM(D398:G398)</f>
        <v>1</v>
      </c>
      <c r="I398" s="60"/>
      <c r="J398" s="60"/>
      <c r="K398" s="60"/>
      <c r="L398" s="60"/>
      <c r="M398" s="61">
        <f>SUM(I398:L398)</f>
        <v>0</v>
      </c>
      <c r="N398" s="60">
        <v>5</v>
      </c>
      <c r="O398" s="60"/>
      <c r="P398" s="60"/>
      <c r="Q398" s="60"/>
      <c r="R398" s="61">
        <f>SUM(N398:Q398)</f>
        <v>5</v>
      </c>
      <c r="S398" s="68">
        <f t="shared" si="93"/>
        <v>6</v>
      </c>
    </row>
    <row r="399" spans="1:19" hidden="1" x14ac:dyDescent="0.35">
      <c r="A399" s="111"/>
      <c r="B399" s="54"/>
      <c r="C399" s="63" t="s">
        <v>235</v>
      </c>
      <c r="D399" s="63"/>
      <c r="E399" s="63"/>
      <c r="F399" s="63"/>
      <c r="G399" s="63"/>
      <c r="H399" s="61">
        <f>SUM(D399:G399)</f>
        <v>0</v>
      </c>
      <c r="I399" s="63">
        <v>3</v>
      </c>
      <c r="J399" s="63"/>
      <c r="K399" s="63"/>
      <c r="L399" s="63"/>
      <c r="M399" s="61">
        <f>SUM(I399:L399)</f>
        <v>3</v>
      </c>
      <c r="N399" s="63">
        <v>5</v>
      </c>
      <c r="O399" s="63"/>
      <c r="P399" s="63"/>
      <c r="Q399" s="63"/>
      <c r="R399" s="61">
        <f>SUM(N399:Q399)</f>
        <v>5</v>
      </c>
      <c r="S399" s="68">
        <f t="shared" si="93"/>
        <v>8</v>
      </c>
    </row>
    <row r="400" spans="1:19" x14ac:dyDescent="0.35">
      <c r="A400" s="66" t="s">
        <v>367</v>
      </c>
      <c r="B400" s="67" t="s">
        <v>368</v>
      </c>
      <c r="C400" s="66"/>
      <c r="D400" s="66">
        <f t="shared" ref="D400:R400" si="96">SUM(D396:D399)</f>
        <v>6</v>
      </c>
      <c r="E400" s="66">
        <f t="shared" si="96"/>
        <v>0</v>
      </c>
      <c r="F400" s="66">
        <f t="shared" si="96"/>
        <v>0</v>
      </c>
      <c r="G400" s="66">
        <f t="shared" si="96"/>
        <v>0</v>
      </c>
      <c r="H400" s="61">
        <f t="shared" si="96"/>
        <v>6</v>
      </c>
      <c r="I400" s="66">
        <f t="shared" si="96"/>
        <v>5</v>
      </c>
      <c r="J400" s="66">
        <f t="shared" si="96"/>
        <v>0</v>
      </c>
      <c r="K400" s="66">
        <f t="shared" si="96"/>
        <v>0</v>
      </c>
      <c r="L400" s="66">
        <f t="shared" si="96"/>
        <v>0</v>
      </c>
      <c r="M400" s="61">
        <f t="shared" si="96"/>
        <v>5</v>
      </c>
      <c r="N400" s="66">
        <f t="shared" si="96"/>
        <v>16</v>
      </c>
      <c r="O400" s="66">
        <f t="shared" si="96"/>
        <v>0</v>
      </c>
      <c r="P400" s="66">
        <f t="shared" si="96"/>
        <v>0</v>
      </c>
      <c r="Q400" s="66">
        <f t="shared" si="96"/>
        <v>0</v>
      </c>
      <c r="R400" s="61">
        <f t="shared" si="96"/>
        <v>16</v>
      </c>
      <c r="S400" s="68">
        <f t="shared" si="93"/>
        <v>27</v>
      </c>
    </row>
    <row r="401" spans="1:19" hidden="1" x14ac:dyDescent="0.35">
      <c r="A401" s="59" t="s">
        <v>369</v>
      </c>
      <c r="B401" s="54">
        <v>10</v>
      </c>
      <c r="C401" s="60" t="s">
        <v>225</v>
      </c>
      <c r="D401" s="60">
        <v>11</v>
      </c>
      <c r="E401" s="60">
        <v>2</v>
      </c>
      <c r="F401" s="60"/>
      <c r="G401" s="60"/>
      <c r="H401" s="61">
        <f>SUM(D401:G401)</f>
        <v>13</v>
      </c>
      <c r="I401" s="60">
        <v>8</v>
      </c>
      <c r="J401" s="60">
        <v>1</v>
      </c>
      <c r="K401" s="60"/>
      <c r="L401" s="60"/>
      <c r="M401" s="61">
        <f>SUM(I401:L401)</f>
        <v>9</v>
      </c>
      <c r="N401" s="60">
        <v>42</v>
      </c>
      <c r="O401" s="60">
        <v>12</v>
      </c>
      <c r="P401" s="60"/>
      <c r="Q401" s="60"/>
      <c r="R401" s="61">
        <f>SUM(N401:Q401)</f>
        <v>54</v>
      </c>
      <c r="S401" s="68">
        <f t="shared" si="93"/>
        <v>76</v>
      </c>
    </row>
    <row r="402" spans="1:19" hidden="1" x14ac:dyDescent="0.35">
      <c r="A402" s="111" t="s">
        <v>291</v>
      </c>
      <c r="B402" s="54"/>
      <c r="C402" s="63" t="s">
        <v>227</v>
      </c>
      <c r="D402" s="63">
        <v>11</v>
      </c>
      <c r="E402" s="63">
        <v>1</v>
      </c>
      <c r="F402" s="63"/>
      <c r="G402" s="63"/>
      <c r="H402" s="61">
        <f>SUM(D402:G402)</f>
        <v>12</v>
      </c>
      <c r="I402" s="63">
        <v>12</v>
      </c>
      <c r="J402" s="63">
        <v>3</v>
      </c>
      <c r="K402" s="63"/>
      <c r="L402" s="63"/>
      <c r="M402" s="61">
        <f>SUM(I402:L402)</f>
        <v>15</v>
      </c>
      <c r="N402" s="63">
        <v>3</v>
      </c>
      <c r="O402" s="63">
        <v>12</v>
      </c>
      <c r="P402" s="63"/>
      <c r="Q402" s="63"/>
      <c r="R402" s="61">
        <f>SUM(N402:Q402)</f>
        <v>15</v>
      </c>
      <c r="S402" s="68">
        <f t="shared" si="93"/>
        <v>42</v>
      </c>
    </row>
    <row r="403" spans="1:19" hidden="1" x14ac:dyDescent="0.35">
      <c r="A403" s="111"/>
      <c r="B403" s="54"/>
      <c r="C403" s="60" t="s">
        <v>228</v>
      </c>
      <c r="D403" s="60">
        <v>12</v>
      </c>
      <c r="E403" s="60">
        <v>1</v>
      </c>
      <c r="F403" s="60"/>
      <c r="G403" s="60"/>
      <c r="H403" s="61">
        <f>SUM(D403:G403)</f>
        <v>13</v>
      </c>
      <c r="I403" s="60">
        <v>14</v>
      </c>
      <c r="J403" s="60">
        <v>2</v>
      </c>
      <c r="K403" s="60"/>
      <c r="L403" s="60"/>
      <c r="M403" s="61">
        <f>SUM(I403:L403)</f>
        <v>16</v>
      </c>
      <c r="N403" s="60">
        <v>30</v>
      </c>
      <c r="O403" s="60">
        <v>12</v>
      </c>
      <c r="P403" s="60"/>
      <c r="Q403" s="60"/>
      <c r="R403" s="61">
        <f>SUM(N403:Q403)</f>
        <v>42</v>
      </c>
      <c r="S403" s="68">
        <f t="shared" si="93"/>
        <v>71</v>
      </c>
    </row>
    <row r="404" spans="1:19" hidden="1" x14ac:dyDescent="0.35">
      <c r="A404" s="111"/>
      <c r="B404" s="54"/>
      <c r="C404" s="63" t="s">
        <v>235</v>
      </c>
      <c r="D404" s="63">
        <v>12</v>
      </c>
      <c r="E404" s="63">
        <v>3</v>
      </c>
      <c r="F404" s="63"/>
      <c r="G404" s="63"/>
      <c r="H404" s="61">
        <f>SUM(D404:G404)</f>
        <v>15</v>
      </c>
      <c r="I404" s="63">
        <v>10</v>
      </c>
      <c r="J404" s="63">
        <v>2</v>
      </c>
      <c r="K404" s="63"/>
      <c r="L404" s="63"/>
      <c r="M404" s="61">
        <f>SUM(I404:L404)</f>
        <v>12</v>
      </c>
      <c r="N404" s="63">
        <v>38</v>
      </c>
      <c r="O404" s="63">
        <v>16</v>
      </c>
      <c r="P404" s="63"/>
      <c r="Q404" s="63"/>
      <c r="R404" s="61">
        <f>SUM(N404:Q404)</f>
        <v>54</v>
      </c>
      <c r="S404" s="68">
        <f t="shared" si="93"/>
        <v>81</v>
      </c>
    </row>
    <row r="405" spans="1:19" hidden="1" x14ac:dyDescent="0.35">
      <c r="A405" s="66" t="s">
        <v>291</v>
      </c>
      <c r="B405" s="67"/>
      <c r="C405" s="66"/>
      <c r="D405" s="66">
        <f t="shared" ref="D405:R405" si="97">SUM(D401:D404)</f>
        <v>46</v>
      </c>
      <c r="E405" s="66">
        <f t="shared" si="97"/>
        <v>7</v>
      </c>
      <c r="F405" s="66">
        <f t="shared" si="97"/>
        <v>0</v>
      </c>
      <c r="G405" s="66">
        <f t="shared" si="97"/>
        <v>0</v>
      </c>
      <c r="H405" s="61">
        <f t="shared" si="97"/>
        <v>53</v>
      </c>
      <c r="I405" s="66">
        <f t="shared" si="97"/>
        <v>44</v>
      </c>
      <c r="J405" s="66">
        <f t="shared" si="97"/>
        <v>8</v>
      </c>
      <c r="K405" s="66">
        <f t="shared" si="97"/>
        <v>0</v>
      </c>
      <c r="L405" s="66">
        <f t="shared" si="97"/>
        <v>0</v>
      </c>
      <c r="M405" s="61">
        <f t="shared" si="97"/>
        <v>52</v>
      </c>
      <c r="N405" s="66">
        <f t="shared" si="97"/>
        <v>113</v>
      </c>
      <c r="O405" s="66">
        <f t="shared" si="97"/>
        <v>52</v>
      </c>
      <c r="P405" s="66">
        <f t="shared" si="97"/>
        <v>0</v>
      </c>
      <c r="Q405" s="66">
        <f t="shared" si="97"/>
        <v>0</v>
      </c>
      <c r="R405" s="61">
        <f t="shared" si="97"/>
        <v>165</v>
      </c>
      <c r="S405" s="68">
        <f t="shared" si="93"/>
        <v>270</v>
      </c>
    </row>
    <row r="406" spans="1:19" hidden="1" x14ac:dyDescent="0.35">
      <c r="A406" s="111" t="s">
        <v>370</v>
      </c>
      <c r="B406" s="54"/>
      <c r="C406" s="60" t="s">
        <v>225</v>
      </c>
      <c r="D406" s="60"/>
      <c r="E406" s="60"/>
      <c r="F406" s="60"/>
      <c r="G406" s="60"/>
      <c r="H406" s="61">
        <f>SUM(D406:G406)</f>
        <v>0</v>
      </c>
      <c r="I406" s="60"/>
      <c r="J406" s="60"/>
      <c r="K406" s="60"/>
      <c r="L406" s="60"/>
      <c r="M406" s="61">
        <f>SUM(I406:L406)</f>
        <v>0</v>
      </c>
      <c r="N406" s="60"/>
      <c r="O406" s="60"/>
      <c r="P406" s="60"/>
      <c r="Q406" s="60"/>
      <c r="R406" s="61">
        <f>SUM(N406:Q406)</f>
        <v>0</v>
      </c>
      <c r="S406" s="68">
        <f t="shared" si="93"/>
        <v>0</v>
      </c>
    </row>
    <row r="407" spans="1:19" hidden="1" x14ac:dyDescent="0.35">
      <c r="A407" s="111"/>
      <c r="B407" s="54"/>
      <c r="C407" s="63" t="s">
        <v>227</v>
      </c>
      <c r="D407" s="63"/>
      <c r="E407" s="63"/>
      <c r="F407" s="63"/>
      <c r="G407" s="63"/>
      <c r="H407" s="61">
        <f>SUM(D407:G407)</f>
        <v>0</v>
      </c>
      <c r="I407" s="63"/>
      <c r="J407" s="63"/>
      <c r="K407" s="63"/>
      <c r="L407" s="63"/>
      <c r="M407" s="61">
        <f>SUM(I407:L407)</f>
        <v>0</v>
      </c>
      <c r="N407" s="63"/>
      <c r="O407" s="63"/>
      <c r="P407" s="63"/>
      <c r="Q407" s="63"/>
      <c r="R407" s="61">
        <f>SUM(N407:Q407)</f>
        <v>0</v>
      </c>
      <c r="S407" s="68">
        <f t="shared" si="93"/>
        <v>0</v>
      </c>
    </row>
    <row r="408" spans="1:19" hidden="1" x14ac:dyDescent="0.35">
      <c r="A408" s="111"/>
      <c r="B408" s="54"/>
      <c r="C408" s="60" t="s">
        <v>228</v>
      </c>
      <c r="D408" s="60"/>
      <c r="E408" s="60"/>
      <c r="F408" s="60"/>
      <c r="G408" s="60"/>
      <c r="H408" s="61">
        <f>SUM(D408:G408)</f>
        <v>0</v>
      </c>
      <c r="I408" s="60"/>
      <c r="J408" s="60"/>
      <c r="K408" s="60"/>
      <c r="L408" s="60"/>
      <c r="M408" s="61">
        <f>SUM(I408:L408)</f>
        <v>0</v>
      </c>
      <c r="N408" s="60"/>
      <c r="O408" s="60"/>
      <c r="P408" s="60"/>
      <c r="Q408" s="60"/>
      <c r="R408" s="61">
        <f>SUM(N408:Q408)</f>
        <v>0</v>
      </c>
      <c r="S408" s="68">
        <f t="shared" si="93"/>
        <v>0</v>
      </c>
    </row>
    <row r="409" spans="1:19" hidden="1" x14ac:dyDescent="0.35">
      <c r="A409" s="111"/>
      <c r="B409" s="54"/>
      <c r="C409" s="63" t="s">
        <v>235</v>
      </c>
      <c r="D409" s="63"/>
      <c r="E409" s="63"/>
      <c r="F409" s="63"/>
      <c r="G409" s="63"/>
      <c r="H409" s="61">
        <f>SUM(D409:G409)</f>
        <v>0</v>
      </c>
      <c r="I409" s="63"/>
      <c r="J409" s="63"/>
      <c r="K409" s="63"/>
      <c r="L409" s="63"/>
      <c r="M409" s="61">
        <f>SUM(I409:L409)</f>
        <v>0</v>
      </c>
      <c r="N409" s="63"/>
      <c r="O409" s="63"/>
      <c r="P409" s="63"/>
      <c r="Q409" s="63"/>
      <c r="R409" s="61">
        <f>SUM(N409:Q409)</f>
        <v>0</v>
      </c>
      <c r="S409" s="68">
        <f t="shared" si="93"/>
        <v>0</v>
      </c>
    </row>
    <row r="410" spans="1:19" hidden="1" x14ac:dyDescent="0.35">
      <c r="A410" s="76" t="s">
        <v>371</v>
      </c>
      <c r="B410" s="67"/>
      <c r="C410" s="66"/>
      <c r="D410" s="66">
        <f t="shared" ref="D410:R410" si="98">SUM(D406:D409)</f>
        <v>0</v>
      </c>
      <c r="E410" s="66">
        <f t="shared" si="98"/>
        <v>0</v>
      </c>
      <c r="F410" s="66">
        <f t="shared" si="98"/>
        <v>0</v>
      </c>
      <c r="G410" s="66">
        <f t="shared" si="98"/>
        <v>0</v>
      </c>
      <c r="H410" s="61">
        <f t="shared" si="98"/>
        <v>0</v>
      </c>
      <c r="I410" s="66">
        <f t="shared" si="98"/>
        <v>0</v>
      </c>
      <c r="J410" s="66">
        <f t="shared" si="98"/>
        <v>0</v>
      </c>
      <c r="K410" s="66">
        <f t="shared" si="98"/>
        <v>0</v>
      </c>
      <c r="L410" s="66">
        <f t="shared" si="98"/>
        <v>0</v>
      </c>
      <c r="M410" s="61">
        <f t="shared" si="98"/>
        <v>0</v>
      </c>
      <c r="N410" s="66">
        <f t="shared" si="98"/>
        <v>0</v>
      </c>
      <c r="O410" s="66">
        <f t="shared" si="98"/>
        <v>0</v>
      </c>
      <c r="P410" s="66">
        <f t="shared" si="98"/>
        <v>0</v>
      </c>
      <c r="Q410" s="66">
        <f t="shared" si="98"/>
        <v>0</v>
      </c>
      <c r="R410" s="61">
        <f t="shared" si="98"/>
        <v>0</v>
      </c>
      <c r="S410" s="68">
        <f t="shared" si="93"/>
        <v>0</v>
      </c>
    </row>
    <row r="411" spans="1:19" hidden="1" x14ac:dyDescent="0.35">
      <c r="A411" s="111" t="s">
        <v>372</v>
      </c>
      <c r="B411" s="54"/>
      <c r="C411" s="60" t="s">
        <v>225</v>
      </c>
      <c r="D411" s="60">
        <v>103</v>
      </c>
      <c r="E411" s="60">
        <v>18</v>
      </c>
      <c r="F411" s="60">
        <v>7</v>
      </c>
      <c r="G411" s="60"/>
      <c r="H411" s="61">
        <f>SUM(D411:G411)</f>
        <v>128</v>
      </c>
      <c r="I411" s="60">
        <v>22</v>
      </c>
      <c r="J411" s="60">
        <v>1</v>
      </c>
      <c r="K411" s="60"/>
      <c r="L411" s="60"/>
      <c r="M411" s="61">
        <f>SUM(I411:L411)</f>
        <v>23</v>
      </c>
      <c r="N411" s="60">
        <v>281</v>
      </c>
      <c r="O411" s="60">
        <v>62</v>
      </c>
      <c r="P411" s="60">
        <v>17</v>
      </c>
      <c r="Q411" s="60"/>
      <c r="R411" s="61">
        <f>SUM(N411:Q411)</f>
        <v>360</v>
      </c>
      <c r="S411" s="68">
        <f t="shared" si="93"/>
        <v>511</v>
      </c>
    </row>
    <row r="412" spans="1:19" hidden="1" x14ac:dyDescent="0.35">
      <c r="A412" s="111"/>
      <c r="B412" s="54"/>
      <c r="C412" s="63" t="s">
        <v>227</v>
      </c>
      <c r="D412" s="63">
        <v>137</v>
      </c>
      <c r="E412" s="63">
        <v>22</v>
      </c>
      <c r="F412" s="63">
        <v>9</v>
      </c>
      <c r="G412" s="63"/>
      <c r="H412" s="61">
        <f>SUM(D412:G412)</f>
        <v>168</v>
      </c>
      <c r="I412" s="63">
        <v>33</v>
      </c>
      <c r="J412" s="63">
        <v>3</v>
      </c>
      <c r="K412" s="63"/>
      <c r="L412" s="63"/>
      <c r="M412" s="61">
        <f>SUM(I412:L412)</f>
        <v>36</v>
      </c>
      <c r="N412" s="63">
        <v>283</v>
      </c>
      <c r="O412" s="63">
        <v>53</v>
      </c>
      <c r="P412" s="63">
        <v>14</v>
      </c>
      <c r="Q412" s="63"/>
      <c r="R412" s="61">
        <f>SUM(N412:Q412)</f>
        <v>350</v>
      </c>
      <c r="S412" s="68">
        <f t="shared" si="93"/>
        <v>554</v>
      </c>
    </row>
    <row r="413" spans="1:19" hidden="1" x14ac:dyDescent="0.35">
      <c r="A413" s="111"/>
      <c r="B413" s="54"/>
      <c r="C413" s="60" t="s">
        <v>228</v>
      </c>
      <c r="D413" s="60">
        <v>98</v>
      </c>
      <c r="E413" s="60">
        <v>29</v>
      </c>
      <c r="F413" s="60">
        <v>5</v>
      </c>
      <c r="G413" s="60"/>
      <c r="H413" s="61">
        <f>SUM(D413:G413)</f>
        <v>132</v>
      </c>
      <c r="I413" s="60">
        <v>39</v>
      </c>
      <c r="J413" s="60">
        <v>5</v>
      </c>
      <c r="K413" s="60">
        <v>2</v>
      </c>
      <c r="L413" s="60"/>
      <c r="M413" s="61">
        <f>SUM(I413:L413)</f>
        <v>46</v>
      </c>
      <c r="N413" s="60">
        <v>254</v>
      </c>
      <c r="O413" s="60">
        <v>28</v>
      </c>
      <c r="P413" s="60">
        <v>12</v>
      </c>
      <c r="Q413" s="60"/>
      <c r="R413" s="61">
        <f>SUM(N413:Q413)</f>
        <v>294</v>
      </c>
      <c r="S413" s="68">
        <f t="shared" si="93"/>
        <v>472</v>
      </c>
    </row>
    <row r="414" spans="1:19" hidden="1" x14ac:dyDescent="0.35">
      <c r="A414" s="111"/>
      <c r="B414" s="54"/>
      <c r="C414" s="63" t="s">
        <v>235</v>
      </c>
      <c r="D414" s="63">
        <v>103</v>
      </c>
      <c r="E414" s="63">
        <v>19</v>
      </c>
      <c r="F414" s="63">
        <v>3</v>
      </c>
      <c r="G414" s="63"/>
      <c r="H414" s="61">
        <f>SUM(D414:G414)</f>
        <v>125</v>
      </c>
      <c r="I414" s="63">
        <v>40</v>
      </c>
      <c r="J414" s="63">
        <v>2</v>
      </c>
      <c r="K414" s="63">
        <v>3</v>
      </c>
      <c r="L414" s="63"/>
      <c r="M414" s="61">
        <f>SUM(I414:L414)</f>
        <v>45</v>
      </c>
      <c r="N414" s="63">
        <v>230</v>
      </c>
      <c r="O414" s="63">
        <v>16</v>
      </c>
      <c r="P414" s="63">
        <v>13</v>
      </c>
      <c r="Q414" s="63"/>
      <c r="R414" s="61">
        <f>SUM(N414:Q414)</f>
        <v>259</v>
      </c>
      <c r="S414" s="68">
        <f t="shared" si="93"/>
        <v>429</v>
      </c>
    </row>
    <row r="415" spans="1:19" hidden="1" x14ac:dyDescent="0.35">
      <c r="A415" s="76" t="s">
        <v>373</v>
      </c>
      <c r="B415" s="67"/>
      <c r="C415" s="66"/>
      <c r="D415" s="66">
        <f t="shared" ref="D415:R415" si="99">SUM(D411:D414)</f>
        <v>441</v>
      </c>
      <c r="E415" s="66">
        <f t="shared" si="99"/>
        <v>88</v>
      </c>
      <c r="F415" s="66">
        <f t="shared" si="99"/>
        <v>24</v>
      </c>
      <c r="G415" s="66">
        <f t="shared" si="99"/>
        <v>0</v>
      </c>
      <c r="H415" s="61">
        <f t="shared" si="99"/>
        <v>553</v>
      </c>
      <c r="I415" s="66">
        <f t="shared" si="99"/>
        <v>134</v>
      </c>
      <c r="J415" s="66">
        <f t="shared" si="99"/>
        <v>11</v>
      </c>
      <c r="K415" s="66">
        <f t="shared" si="99"/>
        <v>5</v>
      </c>
      <c r="L415" s="66">
        <f t="shared" si="99"/>
        <v>0</v>
      </c>
      <c r="M415" s="61">
        <f t="shared" si="99"/>
        <v>150</v>
      </c>
      <c r="N415" s="66">
        <f t="shared" si="99"/>
        <v>1048</v>
      </c>
      <c r="O415" s="66">
        <f t="shared" si="99"/>
        <v>159</v>
      </c>
      <c r="P415" s="66">
        <f t="shared" si="99"/>
        <v>56</v>
      </c>
      <c r="Q415" s="66">
        <f t="shared" si="99"/>
        <v>0</v>
      </c>
      <c r="R415" s="61">
        <f t="shared" si="99"/>
        <v>1263</v>
      </c>
      <c r="S415" s="68">
        <f t="shared" si="93"/>
        <v>1966</v>
      </c>
    </row>
    <row r="416" spans="1:19" x14ac:dyDescent="0.35">
      <c r="A416" s="66" t="s">
        <v>369</v>
      </c>
      <c r="B416" s="67">
        <v>10</v>
      </c>
      <c r="C416" s="66"/>
      <c r="D416" s="66">
        <f>SUM(D415,D410, D405)</f>
        <v>487</v>
      </c>
      <c r="E416" s="66">
        <f t="shared" ref="E416:R416" si="100">SUM(E415,E410,E405)</f>
        <v>95</v>
      </c>
      <c r="F416" s="66">
        <f t="shared" si="100"/>
        <v>24</v>
      </c>
      <c r="G416" s="66">
        <f t="shared" si="100"/>
        <v>0</v>
      </c>
      <c r="H416" s="61">
        <f t="shared" si="100"/>
        <v>606</v>
      </c>
      <c r="I416" s="66">
        <f t="shared" si="100"/>
        <v>178</v>
      </c>
      <c r="J416" s="66">
        <f t="shared" si="100"/>
        <v>19</v>
      </c>
      <c r="K416" s="66">
        <f t="shared" si="100"/>
        <v>5</v>
      </c>
      <c r="L416" s="66">
        <f t="shared" si="100"/>
        <v>0</v>
      </c>
      <c r="M416" s="61">
        <f t="shared" si="100"/>
        <v>202</v>
      </c>
      <c r="N416" s="66">
        <f t="shared" si="100"/>
        <v>1161</v>
      </c>
      <c r="O416" s="66">
        <f t="shared" si="100"/>
        <v>211</v>
      </c>
      <c r="P416" s="66">
        <f t="shared" si="100"/>
        <v>56</v>
      </c>
      <c r="Q416" s="66">
        <f t="shared" si="100"/>
        <v>0</v>
      </c>
      <c r="R416" s="61">
        <f t="shared" si="100"/>
        <v>1428</v>
      </c>
      <c r="S416" s="68">
        <f t="shared" si="93"/>
        <v>2236</v>
      </c>
    </row>
    <row r="417" spans="1:19" hidden="1" x14ac:dyDescent="0.35">
      <c r="A417" s="59" t="s">
        <v>374</v>
      </c>
      <c r="B417" s="54" t="s">
        <v>368</v>
      </c>
      <c r="C417" s="60" t="s">
        <v>225</v>
      </c>
      <c r="D417" s="60"/>
      <c r="E417" s="60"/>
      <c r="F417" s="60"/>
      <c r="G417" s="60"/>
      <c r="H417" s="61">
        <f>SUM(D417:G417)</f>
        <v>0</v>
      </c>
      <c r="I417" s="60"/>
      <c r="J417" s="60"/>
      <c r="K417" s="60"/>
      <c r="L417" s="60"/>
      <c r="M417" s="61">
        <f>SUM(I417:L417)</f>
        <v>0</v>
      </c>
      <c r="N417" s="60"/>
      <c r="O417" s="60"/>
      <c r="P417" s="60"/>
      <c r="Q417" s="60"/>
      <c r="R417" s="61">
        <f>SUM(N417:Q417)</f>
        <v>0</v>
      </c>
      <c r="S417" s="68">
        <f t="shared" si="93"/>
        <v>0</v>
      </c>
    </row>
    <row r="418" spans="1:19" hidden="1" x14ac:dyDescent="0.35">
      <c r="A418" s="111" t="s">
        <v>254</v>
      </c>
      <c r="B418" s="54"/>
      <c r="C418" s="63" t="s">
        <v>227</v>
      </c>
      <c r="D418" s="63"/>
      <c r="E418" s="63"/>
      <c r="F418" s="63"/>
      <c r="G418" s="63"/>
      <c r="H418" s="61">
        <f>SUM(D418:G418)</f>
        <v>0</v>
      </c>
      <c r="I418" s="63"/>
      <c r="J418" s="63"/>
      <c r="K418" s="63"/>
      <c r="L418" s="63"/>
      <c r="M418" s="61">
        <f>SUM(I418:L418)</f>
        <v>0</v>
      </c>
      <c r="N418" s="63"/>
      <c r="O418" s="63"/>
      <c r="P418" s="63"/>
      <c r="Q418" s="63"/>
      <c r="R418" s="61">
        <f>SUM(N418:Q418)</f>
        <v>0</v>
      </c>
      <c r="S418" s="68">
        <f t="shared" si="93"/>
        <v>0</v>
      </c>
    </row>
    <row r="419" spans="1:19" hidden="1" x14ac:dyDescent="0.35">
      <c r="A419" s="111"/>
      <c r="B419" s="54"/>
      <c r="C419" s="60" t="s">
        <v>228</v>
      </c>
      <c r="D419" s="60"/>
      <c r="E419" s="60"/>
      <c r="F419" s="60"/>
      <c r="G419" s="60"/>
      <c r="H419" s="61">
        <f>SUM(D419:G419)</f>
        <v>0</v>
      </c>
      <c r="I419" s="60"/>
      <c r="J419" s="60"/>
      <c r="K419" s="60"/>
      <c r="L419" s="60"/>
      <c r="M419" s="61">
        <f>SUM(I419:L419)</f>
        <v>0</v>
      </c>
      <c r="N419" s="60"/>
      <c r="O419" s="60"/>
      <c r="P419" s="60"/>
      <c r="Q419" s="60"/>
      <c r="R419" s="61">
        <f>SUM(N419:Q419)</f>
        <v>0</v>
      </c>
      <c r="S419" s="68">
        <f t="shared" si="93"/>
        <v>0</v>
      </c>
    </row>
    <row r="420" spans="1:19" hidden="1" x14ac:dyDescent="0.35">
      <c r="A420" s="111"/>
      <c r="B420" s="54"/>
      <c r="C420" s="63" t="s">
        <v>235</v>
      </c>
      <c r="D420" s="63"/>
      <c r="E420" s="63"/>
      <c r="F420" s="63"/>
      <c r="G420" s="63"/>
      <c r="H420" s="61">
        <f>SUM(D420:G420)</f>
        <v>0</v>
      </c>
      <c r="I420" s="63"/>
      <c r="J420" s="63"/>
      <c r="K420" s="63"/>
      <c r="L420" s="63"/>
      <c r="M420" s="61">
        <f>SUM(I420:L420)</f>
        <v>0</v>
      </c>
      <c r="N420" s="63"/>
      <c r="O420" s="63"/>
      <c r="P420" s="63"/>
      <c r="Q420" s="63"/>
      <c r="R420" s="61">
        <f>SUM(N420:Q420)</f>
        <v>0</v>
      </c>
      <c r="S420" s="68">
        <f t="shared" si="93"/>
        <v>0</v>
      </c>
    </row>
    <row r="421" spans="1:19" hidden="1" x14ac:dyDescent="0.35">
      <c r="A421" s="66" t="s">
        <v>374</v>
      </c>
      <c r="B421" s="67" t="s">
        <v>368</v>
      </c>
      <c r="C421" s="66"/>
      <c r="D421" s="66">
        <f t="shared" ref="D421:R421" si="101">SUM(D417:D420)</f>
        <v>0</v>
      </c>
      <c r="E421" s="66">
        <f t="shared" si="101"/>
        <v>0</v>
      </c>
      <c r="F421" s="66">
        <f t="shared" si="101"/>
        <v>0</v>
      </c>
      <c r="G421" s="66">
        <f t="shared" si="101"/>
        <v>0</v>
      </c>
      <c r="H421" s="61">
        <f t="shared" si="101"/>
        <v>0</v>
      </c>
      <c r="I421" s="66">
        <f t="shared" si="101"/>
        <v>0</v>
      </c>
      <c r="J421" s="66">
        <f t="shared" si="101"/>
        <v>0</v>
      </c>
      <c r="K421" s="66">
        <f t="shared" si="101"/>
        <v>0</v>
      </c>
      <c r="L421" s="66">
        <f t="shared" si="101"/>
        <v>0</v>
      </c>
      <c r="M421" s="61">
        <f t="shared" si="101"/>
        <v>0</v>
      </c>
      <c r="N421" s="66">
        <f t="shared" si="101"/>
        <v>0</v>
      </c>
      <c r="O421" s="66">
        <f t="shared" si="101"/>
        <v>0</v>
      </c>
      <c r="P421" s="66">
        <f t="shared" si="101"/>
        <v>0</v>
      </c>
      <c r="Q421" s="66">
        <f t="shared" si="101"/>
        <v>0</v>
      </c>
      <c r="R421" s="61">
        <f t="shared" si="101"/>
        <v>0</v>
      </c>
      <c r="S421" s="68">
        <f t="shared" si="93"/>
        <v>0</v>
      </c>
    </row>
    <row r="422" spans="1:19" hidden="1" x14ac:dyDescent="0.35">
      <c r="A422" s="59" t="s">
        <v>375</v>
      </c>
      <c r="B422" s="54">
        <v>8</v>
      </c>
      <c r="C422" s="60" t="s">
        <v>225</v>
      </c>
      <c r="D422" s="60">
        <v>3</v>
      </c>
      <c r="E422" s="60"/>
      <c r="F422" s="60"/>
      <c r="G422" s="60"/>
      <c r="H422" s="61">
        <f>SUM(D422:G422)</f>
        <v>3</v>
      </c>
      <c r="I422" s="60">
        <v>3</v>
      </c>
      <c r="J422" s="60"/>
      <c r="K422" s="60"/>
      <c r="L422" s="60"/>
      <c r="M422" s="61">
        <f>SUM(I422:L422)</f>
        <v>3</v>
      </c>
      <c r="N422" s="60">
        <v>12</v>
      </c>
      <c r="O422" s="60"/>
      <c r="P422" s="60"/>
      <c r="Q422" s="60"/>
      <c r="R422" s="61">
        <f>SUM(N422:Q422)</f>
        <v>12</v>
      </c>
      <c r="S422" s="68">
        <f t="shared" si="93"/>
        <v>18</v>
      </c>
    </row>
    <row r="423" spans="1:19" hidden="1" x14ac:dyDescent="0.35">
      <c r="A423" s="111" t="s">
        <v>376</v>
      </c>
      <c r="B423" s="54"/>
      <c r="C423" s="63" t="s">
        <v>227</v>
      </c>
      <c r="D423" s="63"/>
      <c r="E423" s="63"/>
      <c r="F423" s="63"/>
      <c r="G423" s="63"/>
      <c r="H423" s="61">
        <f>SUM(D423:G423)</f>
        <v>0</v>
      </c>
      <c r="I423" s="63">
        <v>8</v>
      </c>
      <c r="J423" s="63"/>
      <c r="K423" s="63"/>
      <c r="L423" s="63"/>
      <c r="M423" s="61">
        <f>SUM(I423:L423)</f>
        <v>8</v>
      </c>
      <c r="N423" s="63">
        <v>15</v>
      </c>
      <c r="O423" s="63"/>
      <c r="P423" s="63"/>
      <c r="Q423" s="63"/>
      <c r="R423" s="61">
        <f>SUM(N423:Q423)</f>
        <v>15</v>
      </c>
      <c r="S423" s="68">
        <f t="shared" si="93"/>
        <v>23</v>
      </c>
    </row>
    <row r="424" spans="1:19" hidden="1" x14ac:dyDescent="0.35">
      <c r="A424" s="111"/>
      <c r="B424" s="54"/>
      <c r="C424" s="60" t="s">
        <v>228</v>
      </c>
      <c r="D424" s="60">
        <v>4</v>
      </c>
      <c r="E424" s="60"/>
      <c r="F424" s="60"/>
      <c r="G424" s="60"/>
      <c r="H424" s="61">
        <f>SUM(D424:G424)</f>
        <v>4</v>
      </c>
      <c r="I424" s="60">
        <v>5</v>
      </c>
      <c r="J424" s="60"/>
      <c r="K424" s="60"/>
      <c r="L424" s="60"/>
      <c r="M424" s="61">
        <f>SUM(I424:L424)</f>
        <v>5</v>
      </c>
      <c r="N424" s="60">
        <v>15</v>
      </c>
      <c r="O424" s="60"/>
      <c r="P424" s="60"/>
      <c r="Q424" s="60"/>
      <c r="R424" s="61">
        <f>SUM(N424:Q424)</f>
        <v>15</v>
      </c>
      <c r="S424" s="68">
        <f t="shared" ref="S424:S455" si="102">SUM(H424,M424,R424)</f>
        <v>24</v>
      </c>
    </row>
    <row r="425" spans="1:19" hidden="1" x14ac:dyDescent="0.35">
      <c r="A425" s="111"/>
      <c r="B425" s="54"/>
      <c r="C425" s="63" t="s">
        <v>235</v>
      </c>
      <c r="D425" s="63">
        <v>2</v>
      </c>
      <c r="E425" s="63"/>
      <c r="F425" s="63"/>
      <c r="G425" s="63"/>
      <c r="H425" s="61">
        <f>SUM(D425:G425)</f>
        <v>2</v>
      </c>
      <c r="I425" s="63"/>
      <c r="J425" s="63"/>
      <c r="K425" s="63"/>
      <c r="L425" s="63"/>
      <c r="M425" s="61">
        <f>SUM(I425:L425)</f>
        <v>0</v>
      </c>
      <c r="N425" s="63">
        <v>21</v>
      </c>
      <c r="O425" s="63"/>
      <c r="P425" s="63"/>
      <c r="Q425" s="63"/>
      <c r="R425" s="61">
        <f>SUM(N425:Q425)</f>
        <v>21</v>
      </c>
      <c r="S425" s="68">
        <f t="shared" si="102"/>
        <v>23</v>
      </c>
    </row>
    <row r="426" spans="1:19" x14ac:dyDescent="0.35">
      <c r="A426" s="66" t="s">
        <v>375</v>
      </c>
      <c r="B426" s="67">
        <v>8</v>
      </c>
      <c r="C426" s="66"/>
      <c r="D426" s="66">
        <f t="shared" ref="D426:R426" si="103">SUM(D422:D425)</f>
        <v>9</v>
      </c>
      <c r="E426" s="66">
        <f t="shared" si="103"/>
        <v>0</v>
      </c>
      <c r="F426" s="66">
        <f t="shared" si="103"/>
        <v>0</v>
      </c>
      <c r="G426" s="66">
        <f t="shared" si="103"/>
        <v>0</v>
      </c>
      <c r="H426" s="61">
        <f t="shared" si="103"/>
        <v>9</v>
      </c>
      <c r="I426" s="66">
        <f t="shared" si="103"/>
        <v>16</v>
      </c>
      <c r="J426" s="66">
        <f t="shared" si="103"/>
        <v>0</v>
      </c>
      <c r="K426" s="66">
        <f t="shared" si="103"/>
        <v>0</v>
      </c>
      <c r="L426" s="66">
        <f t="shared" si="103"/>
        <v>0</v>
      </c>
      <c r="M426" s="61">
        <f t="shared" si="103"/>
        <v>16</v>
      </c>
      <c r="N426" s="66">
        <f t="shared" si="103"/>
        <v>63</v>
      </c>
      <c r="O426" s="66">
        <f t="shared" si="103"/>
        <v>0</v>
      </c>
      <c r="P426" s="66">
        <f t="shared" si="103"/>
        <v>0</v>
      </c>
      <c r="Q426" s="66">
        <f t="shared" si="103"/>
        <v>0</v>
      </c>
      <c r="R426" s="61">
        <f t="shared" si="103"/>
        <v>63</v>
      </c>
      <c r="S426" s="68">
        <f t="shared" si="102"/>
        <v>88</v>
      </c>
    </row>
    <row r="427" spans="1:19" hidden="1" x14ac:dyDescent="0.35">
      <c r="A427" s="59" t="s">
        <v>377</v>
      </c>
      <c r="B427" s="54">
        <v>23</v>
      </c>
      <c r="C427" s="60" t="s">
        <v>225</v>
      </c>
      <c r="D427" s="60">
        <v>2</v>
      </c>
      <c r="E427" s="60"/>
      <c r="F427" s="60"/>
      <c r="G427" s="60"/>
      <c r="H427" s="61">
        <f>SUM(D427:G427)</f>
        <v>2</v>
      </c>
      <c r="I427" s="60">
        <v>3</v>
      </c>
      <c r="J427" s="60"/>
      <c r="K427" s="60"/>
      <c r="L427" s="60"/>
      <c r="M427" s="61">
        <f>SUM(I427:L427)</f>
        <v>3</v>
      </c>
      <c r="N427" s="60">
        <v>6</v>
      </c>
      <c r="O427" s="60"/>
      <c r="P427" s="60"/>
      <c r="Q427" s="60"/>
      <c r="R427" s="61">
        <f>SUM(N427:Q427)</f>
        <v>6</v>
      </c>
      <c r="S427" s="68">
        <f t="shared" si="102"/>
        <v>11</v>
      </c>
    </row>
    <row r="428" spans="1:19" hidden="1" x14ac:dyDescent="0.35">
      <c r="A428" s="111" t="s">
        <v>245</v>
      </c>
      <c r="B428" s="54"/>
      <c r="C428" s="63" t="s">
        <v>227</v>
      </c>
      <c r="D428" s="63">
        <v>2</v>
      </c>
      <c r="E428" s="63"/>
      <c r="F428" s="63"/>
      <c r="G428" s="63"/>
      <c r="H428" s="61">
        <f>SUM(D428:G428)</f>
        <v>2</v>
      </c>
      <c r="I428" s="63"/>
      <c r="J428" s="63"/>
      <c r="K428" s="63"/>
      <c r="L428" s="63"/>
      <c r="M428" s="61">
        <f>SUM(I428:L428)</f>
        <v>0</v>
      </c>
      <c r="N428" s="63">
        <v>6</v>
      </c>
      <c r="O428" s="63"/>
      <c r="P428" s="63"/>
      <c r="Q428" s="63"/>
      <c r="R428" s="61">
        <f>SUM(N428:Q428)</f>
        <v>6</v>
      </c>
      <c r="S428" s="68">
        <f t="shared" si="102"/>
        <v>8</v>
      </c>
    </row>
    <row r="429" spans="1:19" hidden="1" x14ac:dyDescent="0.35">
      <c r="A429" s="111"/>
      <c r="B429" s="54"/>
      <c r="C429" s="60" t="s">
        <v>228</v>
      </c>
      <c r="D429" s="60">
        <v>1</v>
      </c>
      <c r="E429" s="60"/>
      <c r="F429" s="60"/>
      <c r="G429" s="60"/>
      <c r="H429" s="61">
        <f>SUM(D429:G429)</f>
        <v>1</v>
      </c>
      <c r="I429" s="60">
        <v>1</v>
      </c>
      <c r="J429" s="60"/>
      <c r="K429" s="60"/>
      <c r="L429" s="60"/>
      <c r="M429" s="61">
        <f>SUM(I429:L429)</f>
        <v>1</v>
      </c>
      <c r="N429" s="60">
        <v>6</v>
      </c>
      <c r="O429" s="60"/>
      <c r="P429" s="60"/>
      <c r="Q429" s="60"/>
      <c r="R429" s="61">
        <f>SUM(N429:Q429)</f>
        <v>6</v>
      </c>
      <c r="S429" s="68">
        <f t="shared" si="102"/>
        <v>8</v>
      </c>
    </row>
    <row r="430" spans="1:19" hidden="1" x14ac:dyDescent="0.35">
      <c r="A430" s="111"/>
      <c r="B430" s="54"/>
      <c r="C430" s="63" t="s">
        <v>235</v>
      </c>
      <c r="D430" s="63">
        <v>2</v>
      </c>
      <c r="E430" s="63"/>
      <c r="F430" s="63"/>
      <c r="G430" s="63"/>
      <c r="H430" s="61">
        <f>SUM(D430:G430)</f>
        <v>2</v>
      </c>
      <c r="I430" s="63"/>
      <c r="J430" s="63"/>
      <c r="K430" s="63"/>
      <c r="L430" s="63"/>
      <c r="M430" s="61">
        <f>SUM(I430:L430)</f>
        <v>0</v>
      </c>
      <c r="N430" s="63">
        <v>2</v>
      </c>
      <c r="O430" s="63"/>
      <c r="P430" s="63"/>
      <c r="Q430" s="63"/>
      <c r="R430" s="61">
        <f>SUM(N430:Q430)</f>
        <v>2</v>
      </c>
      <c r="S430" s="68">
        <f t="shared" si="102"/>
        <v>4</v>
      </c>
    </row>
    <row r="431" spans="1:19" x14ac:dyDescent="0.35">
      <c r="A431" s="66" t="s">
        <v>377</v>
      </c>
      <c r="B431" s="67">
        <v>23</v>
      </c>
      <c r="C431" s="66"/>
      <c r="D431" s="66">
        <f t="shared" ref="D431:R431" si="104">SUM(D427:D430)</f>
        <v>7</v>
      </c>
      <c r="E431" s="66">
        <f t="shared" si="104"/>
        <v>0</v>
      </c>
      <c r="F431" s="66">
        <f t="shared" si="104"/>
        <v>0</v>
      </c>
      <c r="G431" s="66">
        <f t="shared" si="104"/>
        <v>0</v>
      </c>
      <c r="H431" s="61">
        <f t="shared" si="104"/>
        <v>7</v>
      </c>
      <c r="I431" s="66">
        <f t="shared" si="104"/>
        <v>4</v>
      </c>
      <c r="J431" s="66">
        <f t="shared" si="104"/>
        <v>0</v>
      </c>
      <c r="K431" s="66">
        <f t="shared" si="104"/>
        <v>0</v>
      </c>
      <c r="L431" s="66">
        <f t="shared" si="104"/>
        <v>0</v>
      </c>
      <c r="M431" s="61">
        <f t="shared" si="104"/>
        <v>4</v>
      </c>
      <c r="N431" s="66">
        <f t="shared" si="104"/>
        <v>20</v>
      </c>
      <c r="O431" s="66">
        <f t="shared" si="104"/>
        <v>0</v>
      </c>
      <c r="P431" s="66">
        <f t="shared" si="104"/>
        <v>0</v>
      </c>
      <c r="Q431" s="66">
        <f t="shared" si="104"/>
        <v>0</v>
      </c>
      <c r="R431" s="61">
        <f t="shared" si="104"/>
        <v>20</v>
      </c>
      <c r="S431" s="68">
        <f t="shared" si="102"/>
        <v>31</v>
      </c>
    </row>
    <row r="432" spans="1:19" hidden="1" x14ac:dyDescent="0.35">
      <c r="A432" s="59" t="s">
        <v>378</v>
      </c>
      <c r="B432" s="54">
        <v>7</v>
      </c>
      <c r="C432" s="60" t="s">
        <v>225</v>
      </c>
      <c r="D432" s="60"/>
      <c r="E432" s="60"/>
      <c r="F432" s="60"/>
      <c r="G432" s="60"/>
      <c r="H432" s="61">
        <f>SUM(D432:G432)</f>
        <v>0</v>
      </c>
      <c r="I432" s="60"/>
      <c r="J432" s="60"/>
      <c r="K432" s="60"/>
      <c r="L432" s="60"/>
      <c r="M432" s="61">
        <f>SUM(I432:L432)</f>
        <v>0</v>
      </c>
      <c r="N432" s="60"/>
      <c r="O432" s="60"/>
      <c r="P432" s="60"/>
      <c r="Q432" s="60"/>
      <c r="R432" s="61">
        <f>SUM(N432:Q432)</f>
        <v>0</v>
      </c>
      <c r="S432" s="68">
        <f t="shared" si="102"/>
        <v>0</v>
      </c>
    </row>
    <row r="433" spans="1:19" hidden="1" x14ac:dyDescent="0.35">
      <c r="A433" s="111" t="s">
        <v>284</v>
      </c>
      <c r="B433" s="54"/>
      <c r="C433" s="63" t="s">
        <v>227</v>
      </c>
      <c r="D433" s="63"/>
      <c r="E433" s="63"/>
      <c r="F433" s="63"/>
      <c r="G433" s="63"/>
      <c r="H433" s="61">
        <f>SUM(D433:G433)</f>
        <v>0</v>
      </c>
      <c r="I433" s="63"/>
      <c r="J433" s="63"/>
      <c r="K433" s="63"/>
      <c r="L433" s="63"/>
      <c r="M433" s="61">
        <f>SUM(I433:L433)</f>
        <v>0</v>
      </c>
      <c r="N433" s="63"/>
      <c r="O433" s="63"/>
      <c r="P433" s="63"/>
      <c r="Q433" s="63"/>
      <c r="R433" s="61">
        <f>SUM(N433:Q433)</f>
        <v>0</v>
      </c>
      <c r="S433" s="68">
        <f t="shared" si="102"/>
        <v>0</v>
      </c>
    </row>
    <row r="434" spans="1:19" hidden="1" x14ac:dyDescent="0.35">
      <c r="A434" s="111"/>
      <c r="B434" s="54"/>
      <c r="C434" s="60" t="s">
        <v>228</v>
      </c>
      <c r="D434" s="60"/>
      <c r="E434" s="60"/>
      <c r="F434" s="60"/>
      <c r="G434" s="60"/>
      <c r="H434" s="61">
        <f>SUM(D434:G434)</f>
        <v>0</v>
      </c>
      <c r="I434" s="60"/>
      <c r="J434" s="60"/>
      <c r="K434" s="60"/>
      <c r="L434" s="60"/>
      <c r="M434" s="61">
        <f>SUM(I434:L434)</f>
        <v>0</v>
      </c>
      <c r="N434" s="60"/>
      <c r="O434" s="60"/>
      <c r="P434" s="60"/>
      <c r="Q434" s="60"/>
      <c r="R434" s="61">
        <f>SUM(N434:Q434)</f>
        <v>0</v>
      </c>
      <c r="S434" s="68">
        <f t="shared" si="102"/>
        <v>0</v>
      </c>
    </row>
    <row r="435" spans="1:19" hidden="1" x14ac:dyDescent="0.35">
      <c r="A435" s="111"/>
      <c r="B435" s="54"/>
      <c r="C435" s="63" t="s">
        <v>235</v>
      </c>
      <c r="D435" s="63"/>
      <c r="E435" s="63"/>
      <c r="F435" s="63"/>
      <c r="G435" s="63"/>
      <c r="H435" s="61">
        <f>SUM(D435:G435)</f>
        <v>0</v>
      </c>
      <c r="I435" s="63"/>
      <c r="J435" s="63"/>
      <c r="K435" s="63"/>
      <c r="L435" s="63"/>
      <c r="M435" s="61">
        <f>SUM(I435:L435)</f>
        <v>0</v>
      </c>
      <c r="N435" s="63">
        <v>1</v>
      </c>
      <c r="O435" s="63"/>
      <c r="P435" s="63"/>
      <c r="Q435" s="63"/>
      <c r="R435" s="61">
        <f>SUM(N435:Q435)</f>
        <v>1</v>
      </c>
      <c r="S435" s="68">
        <f t="shared" si="102"/>
        <v>1</v>
      </c>
    </row>
    <row r="436" spans="1:19" x14ac:dyDescent="0.35">
      <c r="A436" s="66" t="s">
        <v>378</v>
      </c>
      <c r="B436" s="67">
        <v>7</v>
      </c>
      <c r="C436" s="66"/>
      <c r="D436" s="66">
        <f t="shared" ref="D436:R436" si="105">SUM(D432:D435)</f>
        <v>0</v>
      </c>
      <c r="E436" s="66">
        <f t="shared" si="105"/>
        <v>0</v>
      </c>
      <c r="F436" s="66">
        <f t="shared" si="105"/>
        <v>0</v>
      </c>
      <c r="G436" s="66">
        <f t="shared" si="105"/>
        <v>0</v>
      </c>
      <c r="H436" s="61">
        <f t="shared" si="105"/>
        <v>0</v>
      </c>
      <c r="I436" s="66">
        <f t="shared" si="105"/>
        <v>0</v>
      </c>
      <c r="J436" s="66">
        <f t="shared" si="105"/>
        <v>0</v>
      </c>
      <c r="K436" s="66">
        <f t="shared" si="105"/>
        <v>0</v>
      </c>
      <c r="L436" s="66">
        <f t="shared" si="105"/>
        <v>0</v>
      </c>
      <c r="M436" s="61">
        <f t="shared" si="105"/>
        <v>0</v>
      </c>
      <c r="N436" s="66">
        <f t="shared" si="105"/>
        <v>1</v>
      </c>
      <c r="O436" s="66">
        <f t="shared" si="105"/>
        <v>0</v>
      </c>
      <c r="P436" s="66">
        <f t="shared" si="105"/>
        <v>0</v>
      </c>
      <c r="Q436" s="66">
        <f t="shared" si="105"/>
        <v>0</v>
      </c>
      <c r="R436" s="61">
        <f t="shared" si="105"/>
        <v>1</v>
      </c>
      <c r="S436" s="68">
        <f t="shared" si="102"/>
        <v>1</v>
      </c>
    </row>
    <row r="437" spans="1:19" hidden="1" x14ac:dyDescent="0.35">
      <c r="A437" s="59" t="s">
        <v>379</v>
      </c>
      <c r="B437" s="54">
        <v>23</v>
      </c>
      <c r="C437" s="60" t="s">
        <v>225</v>
      </c>
      <c r="D437" s="60"/>
      <c r="E437" s="60"/>
      <c r="F437" s="60"/>
      <c r="G437" s="60"/>
      <c r="H437" s="61">
        <f>SUM(D437:G437)</f>
        <v>0</v>
      </c>
      <c r="I437" s="60"/>
      <c r="J437" s="60"/>
      <c r="K437" s="60"/>
      <c r="L437" s="60"/>
      <c r="M437" s="61">
        <f>SUM(I437:L437)</f>
        <v>0</v>
      </c>
      <c r="N437" s="60">
        <v>5</v>
      </c>
      <c r="O437" s="60"/>
      <c r="P437" s="60"/>
      <c r="Q437" s="60"/>
      <c r="R437" s="61">
        <f>SUM(N437:Q437)</f>
        <v>5</v>
      </c>
      <c r="S437" s="68">
        <f t="shared" si="102"/>
        <v>5</v>
      </c>
    </row>
    <row r="438" spans="1:19" hidden="1" x14ac:dyDescent="0.35">
      <c r="A438" s="111" t="s">
        <v>380</v>
      </c>
      <c r="B438" s="54"/>
      <c r="C438" s="63" t="s">
        <v>227</v>
      </c>
      <c r="D438" s="63"/>
      <c r="E438" s="63"/>
      <c r="F438" s="63"/>
      <c r="G438" s="63"/>
      <c r="H438" s="61">
        <f>SUM(D438:G438)</f>
        <v>0</v>
      </c>
      <c r="I438" s="63"/>
      <c r="J438" s="63"/>
      <c r="K438" s="63"/>
      <c r="L438" s="63"/>
      <c r="M438" s="61">
        <f>SUM(I438:L438)</f>
        <v>0</v>
      </c>
      <c r="N438" s="63">
        <v>8</v>
      </c>
      <c r="O438" s="63"/>
      <c r="P438" s="63"/>
      <c r="Q438" s="63"/>
      <c r="R438" s="61">
        <f>SUM(N438:Q438)</f>
        <v>8</v>
      </c>
      <c r="S438" s="68">
        <f t="shared" si="102"/>
        <v>8</v>
      </c>
    </row>
    <row r="439" spans="1:19" hidden="1" x14ac:dyDescent="0.35">
      <c r="A439" s="111"/>
      <c r="B439" s="54"/>
      <c r="C439" s="60" t="s">
        <v>228</v>
      </c>
      <c r="D439" s="60"/>
      <c r="E439" s="60"/>
      <c r="F439" s="60"/>
      <c r="G439" s="60"/>
      <c r="H439" s="61">
        <f>SUM(D439:G439)</f>
        <v>0</v>
      </c>
      <c r="I439" s="60">
        <v>1</v>
      </c>
      <c r="J439" s="60"/>
      <c r="K439" s="60"/>
      <c r="L439" s="60"/>
      <c r="M439" s="61">
        <f>SUM(I439:L439)</f>
        <v>1</v>
      </c>
      <c r="N439" s="60">
        <v>11</v>
      </c>
      <c r="O439" s="60"/>
      <c r="P439" s="60"/>
      <c r="Q439" s="60"/>
      <c r="R439" s="61">
        <f>SUM(N439:Q439)</f>
        <v>11</v>
      </c>
      <c r="S439" s="68">
        <f t="shared" si="102"/>
        <v>12</v>
      </c>
    </row>
    <row r="440" spans="1:19" hidden="1" x14ac:dyDescent="0.35">
      <c r="A440" s="111"/>
      <c r="B440" s="54"/>
      <c r="C440" s="63" t="s">
        <v>235</v>
      </c>
      <c r="D440" s="63">
        <v>1</v>
      </c>
      <c r="E440" s="63"/>
      <c r="F440" s="63"/>
      <c r="G440" s="63"/>
      <c r="H440" s="61">
        <f>SUM(D440:G440)</f>
        <v>1</v>
      </c>
      <c r="I440" s="63">
        <v>3</v>
      </c>
      <c r="J440" s="63"/>
      <c r="K440" s="63"/>
      <c r="L440" s="63"/>
      <c r="M440" s="61">
        <f>SUM(I440:L440)</f>
        <v>3</v>
      </c>
      <c r="N440" s="63">
        <v>13</v>
      </c>
      <c r="O440" s="63"/>
      <c r="P440" s="63"/>
      <c r="Q440" s="63"/>
      <c r="R440" s="61">
        <f>SUM(N440:Q440)</f>
        <v>13</v>
      </c>
      <c r="S440" s="68">
        <f t="shared" si="102"/>
        <v>17</v>
      </c>
    </row>
    <row r="441" spans="1:19" x14ac:dyDescent="0.35">
      <c r="A441" s="66" t="s">
        <v>379</v>
      </c>
      <c r="B441" s="67">
        <v>23</v>
      </c>
      <c r="C441" s="66"/>
      <c r="D441" s="66">
        <f t="shared" ref="D441:R441" si="106">SUM(D437:D440)</f>
        <v>1</v>
      </c>
      <c r="E441" s="66">
        <f t="shared" si="106"/>
        <v>0</v>
      </c>
      <c r="F441" s="66">
        <f t="shared" si="106"/>
        <v>0</v>
      </c>
      <c r="G441" s="66">
        <f t="shared" si="106"/>
        <v>0</v>
      </c>
      <c r="H441" s="61">
        <f t="shared" si="106"/>
        <v>1</v>
      </c>
      <c r="I441" s="66">
        <f t="shared" si="106"/>
        <v>4</v>
      </c>
      <c r="J441" s="66">
        <f t="shared" si="106"/>
        <v>0</v>
      </c>
      <c r="K441" s="66">
        <f t="shared" si="106"/>
        <v>0</v>
      </c>
      <c r="L441" s="66">
        <f t="shared" si="106"/>
        <v>0</v>
      </c>
      <c r="M441" s="61">
        <f t="shared" si="106"/>
        <v>4</v>
      </c>
      <c r="N441" s="66">
        <f t="shared" si="106"/>
        <v>37</v>
      </c>
      <c r="O441" s="66">
        <f t="shared" si="106"/>
        <v>0</v>
      </c>
      <c r="P441" s="66">
        <f t="shared" si="106"/>
        <v>0</v>
      </c>
      <c r="Q441" s="66">
        <f t="shared" si="106"/>
        <v>0</v>
      </c>
      <c r="R441" s="61">
        <f t="shared" si="106"/>
        <v>37</v>
      </c>
      <c r="S441" s="68">
        <f t="shared" si="102"/>
        <v>42</v>
      </c>
    </row>
    <row r="442" spans="1:19" hidden="1" x14ac:dyDescent="0.35">
      <c r="A442" s="59" t="s">
        <v>381</v>
      </c>
      <c r="B442" s="54">
        <v>24</v>
      </c>
      <c r="C442" s="60" t="s">
        <v>225</v>
      </c>
      <c r="D442" s="60">
        <v>1</v>
      </c>
      <c r="E442" s="60"/>
      <c r="F442" s="60"/>
      <c r="G442" s="60"/>
      <c r="H442" s="61">
        <f>SUM(D442:G442)</f>
        <v>1</v>
      </c>
      <c r="I442" s="60"/>
      <c r="J442" s="60"/>
      <c r="K442" s="60"/>
      <c r="L442" s="60"/>
      <c r="M442" s="61">
        <f>SUM(I442:L442)</f>
        <v>0</v>
      </c>
      <c r="N442" s="60">
        <v>2</v>
      </c>
      <c r="O442" s="60"/>
      <c r="P442" s="60"/>
      <c r="Q442" s="60"/>
      <c r="R442" s="61">
        <f>SUM(N442:Q442)</f>
        <v>2</v>
      </c>
      <c r="S442" s="68">
        <f t="shared" si="102"/>
        <v>3</v>
      </c>
    </row>
    <row r="443" spans="1:19" hidden="1" x14ac:dyDescent="0.35">
      <c r="A443" s="111" t="s">
        <v>318</v>
      </c>
      <c r="B443" s="54"/>
      <c r="C443" s="63" t="s">
        <v>227</v>
      </c>
      <c r="D443" s="63"/>
      <c r="E443" s="63"/>
      <c r="F443" s="63"/>
      <c r="G443" s="63"/>
      <c r="H443" s="61">
        <f>SUM(D443:G443)</f>
        <v>0</v>
      </c>
      <c r="I443" s="63"/>
      <c r="J443" s="63"/>
      <c r="K443" s="63"/>
      <c r="L443" s="63"/>
      <c r="M443" s="61">
        <f>SUM(I443:L443)</f>
        <v>0</v>
      </c>
      <c r="N443" s="63">
        <v>1</v>
      </c>
      <c r="O443" s="63"/>
      <c r="P443" s="63"/>
      <c r="Q443" s="63"/>
      <c r="R443" s="61">
        <f>SUM(N443:Q443)</f>
        <v>1</v>
      </c>
      <c r="S443" s="68">
        <f t="shared" si="102"/>
        <v>1</v>
      </c>
    </row>
    <row r="444" spans="1:19" hidden="1" x14ac:dyDescent="0.35">
      <c r="A444" s="111"/>
      <c r="B444" s="54"/>
      <c r="C444" s="60" t="s">
        <v>228</v>
      </c>
      <c r="D444" s="60">
        <v>1</v>
      </c>
      <c r="E444" s="60"/>
      <c r="F444" s="60"/>
      <c r="G444" s="60"/>
      <c r="H444" s="61">
        <f>SUM(D444:G444)</f>
        <v>1</v>
      </c>
      <c r="I444" s="60">
        <v>1</v>
      </c>
      <c r="J444" s="60"/>
      <c r="K444" s="60"/>
      <c r="L444" s="60"/>
      <c r="M444" s="61">
        <f>SUM(I444:L444)</f>
        <v>1</v>
      </c>
      <c r="N444" s="60">
        <v>3</v>
      </c>
      <c r="O444" s="60"/>
      <c r="P444" s="60"/>
      <c r="Q444" s="60"/>
      <c r="R444" s="61">
        <f>SUM(N444:Q444)</f>
        <v>3</v>
      </c>
      <c r="S444" s="68">
        <f t="shared" si="102"/>
        <v>5</v>
      </c>
    </row>
    <row r="445" spans="1:19" hidden="1" x14ac:dyDescent="0.35">
      <c r="A445" s="111"/>
      <c r="B445" s="54"/>
      <c r="C445" s="63" t="s">
        <v>235</v>
      </c>
      <c r="D445" s="63"/>
      <c r="E445" s="63"/>
      <c r="F445" s="63"/>
      <c r="G445" s="63"/>
      <c r="H445" s="61">
        <f>SUM(D445:G445)</f>
        <v>0</v>
      </c>
      <c r="I445" s="63"/>
      <c r="J445" s="63"/>
      <c r="K445" s="63"/>
      <c r="L445" s="63"/>
      <c r="M445" s="61">
        <f>SUM(I445:L445)</f>
        <v>0</v>
      </c>
      <c r="N445" s="63">
        <v>1</v>
      </c>
      <c r="O445" s="63"/>
      <c r="P445" s="63"/>
      <c r="Q445" s="63"/>
      <c r="R445" s="61">
        <f>SUM(N445:Q445)</f>
        <v>1</v>
      </c>
      <c r="S445" s="68">
        <f t="shared" si="102"/>
        <v>1</v>
      </c>
    </row>
    <row r="446" spans="1:19" x14ac:dyDescent="0.35">
      <c r="A446" s="66" t="s">
        <v>381</v>
      </c>
      <c r="B446" s="67">
        <v>24</v>
      </c>
      <c r="C446" s="66"/>
      <c r="D446" s="66">
        <f t="shared" ref="D446:R446" si="107">SUM(D442:D445)</f>
        <v>2</v>
      </c>
      <c r="E446" s="66">
        <f t="shared" si="107"/>
        <v>0</v>
      </c>
      <c r="F446" s="66">
        <f t="shared" si="107"/>
        <v>0</v>
      </c>
      <c r="G446" s="66">
        <f t="shared" si="107"/>
        <v>0</v>
      </c>
      <c r="H446" s="61">
        <f t="shared" si="107"/>
        <v>2</v>
      </c>
      <c r="I446" s="66">
        <f t="shared" si="107"/>
        <v>1</v>
      </c>
      <c r="J446" s="66">
        <f t="shared" si="107"/>
        <v>0</v>
      </c>
      <c r="K446" s="66">
        <f t="shared" si="107"/>
        <v>0</v>
      </c>
      <c r="L446" s="66">
        <f t="shared" si="107"/>
        <v>0</v>
      </c>
      <c r="M446" s="61">
        <f t="shared" si="107"/>
        <v>1</v>
      </c>
      <c r="N446" s="66">
        <f t="shared" si="107"/>
        <v>7</v>
      </c>
      <c r="O446" s="66">
        <f t="shared" si="107"/>
        <v>0</v>
      </c>
      <c r="P446" s="66">
        <f t="shared" si="107"/>
        <v>0</v>
      </c>
      <c r="Q446" s="66">
        <f t="shared" si="107"/>
        <v>0</v>
      </c>
      <c r="R446" s="61">
        <f t="shared" si="107"/>
        <v>7</v>
      </c>
      <c r="S446" s="68">
        <f t="shared" si="102"/>
        <v>10</v>
      </c>
    </row>
  </sheetData>
  <sheetProtection selectLockedCells="1" selectUnlockedCells="1"/>
  <mergeCells count="92">
    <mergeCell ref="A4:C4"/>
    <mergeCell ref="A6:A7"/>
    <mergeCell ref="A11:A12"/>
    <mergeCell ref="A16:A17"/>
    <mergeCell ref="A1:C1"/>
    <mergeCell ref="D1:R1"/>
    <mergeCell ref="D2:H2"/>
    <mergeCell ref="I2:M2"/>
    <mergeCell ref="N2:R2"/>
    <mergeCell ref="A21:A22"/>
    <mergeCell ref="A26:A27"/>
    <mergeCell ref="A93:A95"/>
    <mergeCell ref="A35:A36"/>
    <mergeCell ref="A42:A43"/>
    <mergeCell ref="A46:A47"/>
    <mergeCell ref="A53:A54"/>
    <mergeCell ref="A58:A59"/>
    <mergeCell ref="A63:A64"/>
    <mergeCell ref="A68:A69"/>
    <mergeCell ref="A31:A32"/>
    <mergeCell ref="A73:A74"/>
    <mergeCell ref="A78:A79"/>
    <mergeCell ref="A83:A84"/>
    <mergeCell ref="A88:A89"/>
    <mergeCell ref="A156:A158"/>
    <mergeCell ref="A98:A100"/>
    <mergeCell ref="A102:A105"/>
    <mergeCell ref="A109:A111"/>
    <mergeCell ref="A114:A116"/>
    <mergeCell ref="A119:A121"/>
    <mergeCell ref="A186:A188"/>
    <mergeCell ref="A191:A193"/>
    <mergeCell ref="A195:A198"/>
    <mergeCell ref="A200:A203"/>
    <mergeCell ref="A123:A126"/>
    <mergeCell ref="A130:A132"/>
    <mergeCell ref="A135:A137"/>
    <mergeCell ref="A139:A142"/>
    <mergeCell ref="A146:A148"/>
    <mergeCell ref="A151:A153"/>
    <mergeCell ref="A161:A163"/>
    <mergeCell ref="A166:A168"/>
    <mergeCell ref="A171:A173"/>
    <mergeCell ref="A176:A178"/>
    <mergeCell ref="A181:A183"/>
    <mergeCell ref="A207:A209"/>
    <mergeCell ref="A212:A214"/>
    <mergeCell ref="A279:A281"/>
    <mergeCell ref="A222:A224"/>
    <mergeCell ref="A227:A229"/>
    <mergeCell ref="A232:A234"/>
    <mergeCell ref="A237:A239"/>
    <mergeCell ref="A242:A244"/>
    <mergeCell ref="A247:A249"/>
    <mergeCell ref="A252:A254"/>
    <mergeCell ref="A217:A219"/>
    <mergeCell ref="A257:A259"/>
    <mergeCell ref="A261:A264"/>
    <mergeCell ref="A268:A270"/>
    <mergeCell ref="A272:A275"/>
    <mergeCell ref="A339:A341"/>
    <mergeCell ref="A284:A286"/>
    <mergeCell ref="A289:A291"/>
    <mergeCell ref="A294:A296"/>
    <mergeCell ref="A299:A301"/>
    <mergeCell ref="A304:A306"/>
    <mergeCell ref="A371:A373"/>
    <mergeCell ref="A376:A378"/>
    <mergeCell ref="A381:A383"/>
    <mergeCell ref="A386:A388"/>
    <mergeCell ref="A309:A311"/>
    <mergeCell ref="A314:A316"/>
    <mergeCell ref="A319:A321"/>
    <mergeCell ref="A324:A326"/>
    <mergeCell ref="A329:A331"/>
    <mergeCell ref="A334:A336"/>
    <mergeCell ref="A343:A346"/>
    <mergeCell ref="A350:A352"/>
    <mergeCell ref="A355:A357"/>
    <mergeCell ref="A361:A363"/>
    <mergeCell ref="A366:A368"/>
    <mergeCell ref="A390:A393"/>
    <mergeCell ref="A397:A399"/>
    <mergeCell ref="A438:A440"/>
    <mergeCell ref="A443:A445"/>
    <mergeCell ref="A406:A409"/>
    <mergeCell ref="A411:A414"/>
    <mergeCell ref="A418:A420"/>
    <mergeCell ref="A423:A425"/>
    <mergeCell ref="A428:A430"/>
    <mergeCell ref="A433:A435"/>
    <mergeCell ref="A402:A40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DV '18-'19</vt:lpstr>
      <vt:lpstr>SA '18-'19</vt:lpstr>
      <vt:lpstr>BIP Statement of Purpose</vt:lpstr>
      <vt:lpstr>BIP Intakes Scheduled</vt:lpstr>
      <vt:lpstr>BIP Enrolled Participants</vt:lpstr>
      <vt:lpstr>BIP Non-Enrollment explanations</vt:lpstr>
      <vt:lpstr>BIP Participant Outcome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Bolin, Sara J</dc:creator>
  <cp:lastModifiedBy>Overholt, Molly</cp:lastModifiedBy>
  <dcterms:created xsi:type="dcterms:W3CDTF">2019-08-28T12:37:40Z</dcterms:created>
  <dcterms:modified xsi:type="dcterms:W3CDTF">2022-05-05T20:02:51Z</dcterms:modified>
</cp:coreProperties>
</file>